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shozoku\05500_福祉指導課\03高齢介護チーム\4-3庶務（照会・通知・HP）\ＨＰ関連\03様式\★R080401変更様式\"/>
    </mc:Choice>
  </mc:AlternateContent>
  <bookViews>
    <workbookView xWindow="396" yWindow="396" windowWidth="24636" windowHeight="15228" tabRatio="935"/>
  </bookViews>
  <sheets>
    <sheet name="別紙１－１" sheetId="491" r:id="rId1"/>
    <sheet name="備考（1）" sheetId="413" r:id="rId2"/>
    <sheet name="別紙１－２" sheetId="492" r:id="rId3"/>
    <sheet name="備考（1－2）" sheetId="414" r:id="rId4"/>
    <sheet name="別紙１－３" sheetId="493" r:id="rId5"/>
    <sheet name="備考（1－3）" sheetId="415" r:id="rId6"/>
    <sheet name="別紙１－4" sheetId="494" r:id="rId7"/>
    <sheet name="別紙●24" sheetId="66" state="hidden" r:id="rId8"/>
  </sheets>
  <definedNames>
    <definedName name="_xlnm.Print_Titles" localSheetId="0">'別紙１－１'!$1:$5</definedName>
    <definedName name="_xlnm.Print_Titles" localSheetId="2">'別紙１－２'!$1:$5</definedName>
    <definedName name="_xlnm.Print_Titles" localSheetId="4">'別紙１－３'!$1:$5</definedName>
    <definedName name="_xlnm.Print_Titles" localSheetId="6">'別紙１－4'!$1:$5</definedName>
  </definedNames>
  <calcPr calcId="162913"/>
</workbook>
</file>

<file path=xl/calcChain.xml><?xml version="1.0" encoding="utf-8"?>
<calcChain xmlns="http://schemas.openxmlformats.org/spreadsheetml/2006/main">
  <c r="AI87" i="492" l="1"/>
  <c r="AI582" i="491"/>
  <c r="AI560" i="491"/>
  <c r="AI534" i="491"/>
  <c r="AI508" i="491"/>
  <c r="AI486" i="491"/>
  <c r="AI465" i="491"/>
  <c r="AI439" i="491"/>
  <c r="AI73" i="494" l="1"/>
  <c r="AI72" i="494"/>
  <c r="AI71" i="494"/>
  <c r="AI70" i="494"/>
  <c r="AI69" i="494"/>
  <c r="AI68" i="494"/>
  <c r="AI67" i="494"/>
  <c r="AI66" i="494"/>
  <c r="AI65" i="494"/>
  <c r="AG65" i="494"/>
  <c r="AI64" i="494"/>
  <c r="AI62" i="494"/>
  <c r="AI60" i="494"/>
  <c r="AI59" i="494"/>
  <c r="AI57" i="494"/>
  <c r="AI55" i="494"/>
  <c r="AI53" i="494"/>
  <c r="AI52" i="494"/>
  <c r="AG52" i="494"/>
  <c r="AG49" i="494"/>
  <c r="AI34" i="494"/>
  <c r="AI33" i="494"/>
  <c r="AI32" i="494"/>
  <c r="AI31" i="494"/>
  <c r="AI30" i="494"/>
  <c r="AI29" i="494"/>
  <c r="AI28" i="494"/>
  <c r="AI27" i="494"/>
  <c r="AI26" i="494"/>
  <c r="AI25" i="494"/>
  <c r="AK24" i="494"/>
  <c r="AJ24" i="494"/>
  <c r="AI24" i="494"/>
  <c r="AG24" i="494"/>
  <c r="AI21" i="494"/>
  <c r="AI19" i="494"/>
  <c r="AI17" i="494"/>
  <c r="AI16" i="494"/>
  <c r="AI14" i="494"/>
  <c r="AI12" i="494"/>
  <c r="AI10" i="494"/>
  <c r="AI9" i="494"/>
  <c r="AK8" i="494"/>
  <c r="AJ8" i="494"/>
  <c r="AI8" i="494"/>
  <c r="AG8" i="494"/>
  <c r="AG5" i="494"/>
  <c r="AI483" i="493"/>
  <c r="AI482" i="493"/>
  <c r="AI481" i="493"/>
  <c r="AI480" i="493"/>
  <c r="AG480" i="493"/>
  <c r="AI479" i="493"/>
  <c r="AG479" i="493"/>
  <c r="AI478" i="493"/>
  <c r="AI477" i="493"/>
  <c r="AI476" i="493"/>
  <c r="AI474" i="493"/>
  <c r="AI473" i="493"/>
  <c r="AI472" i="493"/>
  <c r="AI471" i="493"/>
  <c r="AI470" i="493"/>
  <c r="AG470" i="493"/>
  <c r="AI469" i="493"/>
  <c r="AG469" i="493"/>
  <c r="AI468" i="493"/>
  <c r="AI467" i="493"/>
  <c r="AI466" i="493"/>
  <c r="AI465" i="493"/>
  <c r="AI464" i="493"/>
  <c r="AI463" i="493"/>
  <c r="AI462" i="493"/>
  <c r="AI461" i="493"/>
  <c r="AI460" i="493"/>
  <c r="AI459" i="493"/>
  <c r="AG459" i="493"/>
  <c r="AI458" i="493"/>
  <c r="AG458" i="493"/>
  <c r="AI456" i="493"/>
  <c r="AI455" i="493"/>
  <c r="AI454" i="493"/>
  <c r="AI453" i="493"/>
  <c r="AG453" i="493"/>
  <c r="AI452" i="493"/>
  <c r="AG452" i="493"/>
  <c r="AI451" i="493"/>
  <c r="AI450" i="493"/>
  <c r="AI449" i="493"/>
  <c r="AI448" i="493"/>
  <c r="AI447" i="493"/>
  <c r="AI446" i="493"/>
  <c r="AI445" i="493"/>
  <c r="AI444" i="493"/>
  <c r="AI443" i="493"/>
  <c r="AI442" i="493"/>
  <c r="AI441" i="493"/>
  <c r="AI440" i="493"/>
  <c r="AI439" i="493"/>
  <c r="AI438" i="493"/>
  <c r="AI436" i="493"/>
  <c r="AI435" i="493"/>
  <c r="AI434" i="493"/>
  <c r="AI433" i="493"/>
  <c r="AI432" i="493"/>
  <c r="AI431" i="493"/>
  <c r="AI430" i="493"/>
  <c r="AG430" i="493"/>
  <c r="AI429" i="493"/>
  <c r="AG429" i="493"/>
  <c r="AI427" i="493"/>
  <c r="AI426" i="493"/>
  <c r="AI425" i="493"/>
  <c r="AI424" i="493"/>
  <c r="AG424" i="493"/>
  <c r="AI423" i="493"/>
  <c r="AG423" i="493"/>
  <c r="AI422" i="493"/>
  <c r="AI421" i="493"/>
  <c r="AI420" i="493"/>
  <c r="AI419" i="493"/>
  <c r="AI418" i="493"/>
  <c r="AI417" i="493"/>
  <c r="AI416" i="493"/>
  <c r="AI414" i="493"/>
  <c r="AI413" i="493"/>
  <c r="AI412" i="493"/>
  <c r="AI411" i="493"/>
  <c r="AI410" i="493"/>
  <c r="AG410" i="493"/>
  <c r="AI409" i="493"/>
  <c r="AG409" i="493"/>
  <c r="AI408" i="493"/>
  <c r="AI407" i="493"/>
  <c r="AI406" i="493"/>
  <c r="AI405" i="493"/>
  <c r="AI404" i="493"/>
  <c r="AI403" i="493"/>
  <c r="AI402" i="493"/>
  <c r="AI401" i="493"/>
  <c r="AI400" i="493"/>
  <c r="AI399" i="493"/>
  <c r="AI398" i="493"/>
  <c r="AG398" i="493"/>
  <c r="AI397" i="493"/>
  <c r="AG397" i="493"/>
  <c r="AI396" i="493"/>
  <c r="AI395" i="493"/>
  <c r="AI394" i="493"/>
  <c r="AI393" i="493"/>
  <c r="AI392" i="493"/>
  <c r="AI391" i="493"/>
  <c r="AI390" i="493"/>
  <c r="AI389" i="493"/>
  <c r="AI388" i="493"/>
  <c r="AI387" i="493"/>
  <c r="AI386" i="493"/>
  <c r="AI384" i="493"/>
  <c r="AI382" i="493"/>
  <c r="AI380" i="493"/>
  <c r="AI378" i="493"/>
  <c r="AI377" i="493"/>
  <c r="AI376" i="493"/>
  <c r="AI375" i="493"/>
  <c r="AG375" i="493"/>
  <c r="AI374" i="493"/>
  <c r="AG374" i="493"/>
  <c r="AI373" i="493"/>
  <c r="AI371" i="493"/>
  <c r="AI370" i="493"/>
  <c r="AI369" i="493"/>
  <c r="AI368" i="493"/>
  <c r="AG368" i="493"/>
  <c r="AI367" i="493"/>
  <c r="AG367" i="493"/>
  <c r="AI366" i="493"/>
  <c r="AI365" i="493"/>
  <c r="AI364" i="493"/>
  <c r="AI363" i="493"/>
  <c r="AI362" i="493"/>
  <c r="AI361" i="493"/>
  <c r="AI359" i="493"/>
  <c r="AI357" i="493"/>
  <c r="AI356" i="493"/>
  <c r="AI355" i="493"/>
  <c r="AG355" i="493"/>
  <c r="AI354" i="493"/>
  <c r="AG354" i="493"/>
  <c r="AG352" i="493"/>
  <c r="AG349" i="493"/>
  <c r="AI343" i="493"/>
  <c r="AI342" i="493"/>
  <c r="AI341" i="493"/>
  <c r="AI340" i="493"/>
  <c r="AI339" i="493"/>
  <c r="AI338" i="493"/>
  <c r="AI336" i="493"/>
  <c r="AI335" i="493"/>
  <c r="AI334" i="493"/>
  <c r="AI333" i="493"/>
  <c r="AI332" i="493"/>
  <c r="AG332" i="493"/>
  <c r="AK331" i="493"/>
  <c r="AJ331" i="493"/>
  <c r="AI331" i="493"/>
  <c r="AG331" i="493"/>
  <c r="AI328" i="493"/>
  <c r="AI327" i="493"/>
  <c r="AI326" i="493"/>
  <c r="AI325" i="493"/>
  <c r="AI324" i="493"/>
  <c r="AI323" i="493"/>
  <c r="AI322" i="493"/>
  <c r="AI321" i="493"/>
  <c r="AI320" i="493"/>
  <c r="AI319" i="493"/>
  <c r="AI317" i="493"/>
  <c r="AI316" i="493"/>
  <c r="AI315" i="493"/>
  <c r="AI314" i="493"/>
  <c r="AI313" i="493"/>
  <c r="AG313" i="493"/>
  <c r="AK312" i="493"/>
  <c r="AJ312" i="493"/>
  <c r="AI312" i="493"/>
  <c r="AG312" i="493"/>
  <c r="AI309" i="493"/>
  <c r="AI308" i="493"/>
  <c r="AI306" i="493"/>
  <c r="AI305" i="493"/>
  <c r="AI304" i="493"/>
  <c r="AI303" i="493"/>
  <c r="AG303" i="493"/>
  <c r="AK302" i="493"/>
  <c r="AJ302" i="493"/>
  <c r="AI302" i="493"/>
  <c r="AG302" i="493"/>
  <c r="AI299" i="493"/>
  <c r="AI298" i="493"/>
  <c r="AI297" i="493"/>
  <c r="AI296" i="493"/>
  <c r="AI295" i="493"/>
  <c r="AI293" i="493"/>
  <c r="AI292" i="493"/>
  <c r="AI291" i="493"/>
  <c r="AI290" i="493"/>
  <c r="AI289" i="493"/>
  <c r="AG289" i="493"/>
  <c r="AK288" i="493"/>
  <c r="AJ288" i="493"/>
  <c r="AI288" i="493"/>
  <c r="AG288" i="493"/>
  <c r="AI285" i="493"/>
  <c r="AI284" i="493"/>
  <c r="AI283" i="493"/>
  <c r="AI282" i="493"/>
  <c r="AI281" i="493"/>
  <c r="AI280" i="493"/>
  <c r="AI279" i="493"/>
  <c r="AI278" i="493"/>
  <c r="AI277" i="493"/>
  <c r="AI274" i="493"/>
  <c r="AI273" i="493"/>
  <c r="AI272" i="493"/>
  <c r="AG272" i="493"/>
  <c r="AK271" i="493"/>
  <c r="AJ271" i="493"/>
  <c r="AI271" i="493"/>
  <c r="AG271" i="493"/>
  <c r="AI268" i="493"/>
  <c r="AI267" i="493"/>
  <c r="AI265" i="493"/>
  <c r="AI264" i="493"/>
  <c r="AI263" i="493"/>
  <c r="AI262" i="493"/>
  <c r="AG262" i="493"/>
  <c r="AK261" i="493"/>
  <c r="AJ261" i="493"/>
  <c r="AI261" i="493"/>
  <c r="AG261" i="493"/>
  <c r="AI258" i="493"/>
  <c r="AI257" i="493"/>
  <c r="AI256" i="493"/>
  <c r="AI255" i="493"/>
  <c r="AI254" i="493"/>
  <c r="AI253" i="493"/>
  <c r="AI252" i="493"/>
  <c r="AI251" i="493"/>
  <c r="AI250" i="493"/>
  <c r="AI249" i="493"/>
  <c r="AI248" i="493"/>
  <c r="AI247" i="493"/>
  <c r="AI246" i="493"/>
  <c r="AI245" i="493"/>
  <c r="AI244" i="493"/>
  <c r="AI243" i="493"/>
  <c r="AI242" i="493"/>
  <c r="AI240" i="493"/>
  <c r="AI239" i="493"/>
  <c r="AI238" i="493"/>
  <c r="AI237" i="493"/>
  <c r="AI236" i="493"/>
  <c r="AI235" i="493"/>
  <c r="AI234" i="493"/>
  <c r="AG234" i="493"/>
  <c r="AK233" i="493"/>
  <c r="AJ233" i="493"/>
  <c r="AI233" i="493"/>
  <c r="AG233" i="493"/>
  <c r="AI230" i="493"/>
  <c r="AI229" i="493"/>
  <c r="AI228" i="493"/>
  <c r="AI227" i="493"/>
  <c r="AI226" i="493"/>
  <c r="AI225" i="493"/>
  <c r="AI224" i="493"/>
  <c r="AI223" i="493"/>
  <c r="AI222" i="493"/>
  <c r="AI221" i="493"/>
  <c r="AI220" i="493"/>
  <c r="AI219" i="493"/>
  <c r="AI218" i="493"/>
  <c r="AI217" i="493"/>
  <c r="AI216" i="493"/>
  <c r="AI215" i="493"/>
  <c r="AI214" i="493"/>
  <c r="AI213" i="493"/>
  <c r="AI212" i="493"/>
  <c r="AI211" i="493"/>
  <c r="AI210" i="493"/>
  <c r="AI209" i="493"/>
  <c r="AI208" i="493"/>
  <c r="AI207" i="493"/>
  <c r="AI206" i="493"/>
  <c r="AI204" i="493"/>
  <c r="AI203" i="493"/>
  <c r="AI202" i="493"/>
  <c r="AI201" i="493"/>
  <c r="AI199" i="493"/>
  <c r="AI198" i="493"/>
  <c r="AI196" i="493"/>
  <c r="AI195" i="493"/>
  <c r="AI194" i="493"/>
  <c r="AI193" i="493"/>
  <c r="AI192" i="493"/>
  <c r="AI191" i="493"/>
  <c r="AI189" i="493"/>
  <c r="AG189" i="493"/>
  <c r="AK188" i="493"/>
  <c r="AJ188" i="493"/>
  <c r="AI188" i="493"/>
  <c r="AH188" i="493"/>
  <c r="AG188" i="493"/>
  <c r="AI185" i="493"/>
  <c r="AI184" i="493"/>
  <c r="AI183" i="493"/>
  <c r="AI182" i="493"/>
  <c r="AI181" i="493"/>
  <c r="AI180" i="493"/>
  <c r="AI179" i="493"/>
  <c r="AI178" i="493"/>
  <c r="AI177" i="493"/>
  <c r="AG177" i="493"/>
  <c r="AK176" i="493"/>
  <c r="AJ176" i="493"/>
  <c r="AI176" i="493"/>
  <c r="AG176" i="493"/>
  <c r="AI173" i="493"/>
  <c r="AI172" i="493"/>
  <c r="AI171" i="493"/>
  <c r="AI170" i="493"/>
  <c r="AI169" i="493"/>
  <c r="AI168" i="493"/>
  <c r="AI167" i="493"/>
  <c r="AI166" i="493"/>
  <c r="AI165" i="493"/>
  <c r="AI164" i="493"/>
  <c r="AI163" i="493"/>
  <c r="AI162" i="493"/>
  <c r="AI160" i="493"/>
  <c r="AI159" i="493"/>
  <c r="AI158" i="493"/>
  <c r="AI157" i="493"/>
  <c r="AI156" i="493"/>
  <c r="AG156" i="493"/>
  <c r="AK155" i="493"/>
  <c r="AJ155" i="493"/>
  <c r="AI155" i="493"/>
  <c r="AG155" i="493"/>
  <c r="AI152" i="493"/>
  <c r="AI151" i="493"/>
  <c r="AI150" i="493"/>
  <c r="AI149" i="493"/>
  <c r="AI148" i="493"/>
  <c r="AI147" i="493"/>
  <c r="AI146" i="493"/>
  <c r="AI145" i="493"/>
  <c r="AI143" i="493"/>
  <c r="AI142" i="493"/>
  <c r="AI141" i="493"/>
  <c r="AI140" i="493"/>
  <c r="AI139" i="493"/>
  <c r="AG139" i="493"/>
  <c r="AK138" i="493"/>
  <c r="AJ138" i="493"/>
  <c r="AI138" i="493"/>
  <c r="AG138" i="493"/>
  <c r="AI135" i="493"/>
  <c r="AI134" i="493"/>
  <c r="AI133" i="493"/>
  <c r="AI132" i="493"/>
  <c r="AI131" i="493"/>
  <c r="AI130" i="493"/>
  <c r="AI129" i="493"/>
  <c r="AI128" i="493"/>
  <c r="AI127" i="493"/>
  <c r="AI126" i="493"/>
  <c r="AI125" i="493"/>
  <c r="AI124" i="493"/>
  <c r="AI123" i="493"/>
  <c r="AI121" i="493"/>
  <c r="AI120" i="493"/>
  <c r="AI119" i="493"/>
  <c r="AI118" i="493"/>
  <c r="AI117" i="493"/>
  <c r="AG117" i="493"/>
  <c r="AK116" i="493"/>
  <c r="AJ116" i="493"/>
  <c r="AI116" i="493"/>
  <c r="AG116" i="493"/>
  <c r="AI113" i="493"/>
  <c r="AI112" i="493"/>
  <c r="AI110" i="493"/>
  <c r="AI109" i="493"/>
  <c r="AI108" i="493"/>
  <c r="AI107" i="493"/>
  <c r="AG107" i="493"/>
  <c r="AK106" i="493"/>
  <c r="AJ106" i="493"/>
  <c r="AI106" i="493"/>
  <c r="AG106" i="493"/>
  <c r="AI103" i="493"/>
  <c r="AI102" i="493"/>
  <c r="AI101" i="493"/>
  <c r="AI100" i="493"/>
  <c r="AI99" i="493"/>
  <c r="AI98" i="493"/>
  <c r="AI97" i="493"/>
  <c r="AI96" i="493"/>
  <c r="AI95" i="493"/>
  <c r="AI93" i="493"/>
  <c r="AI92" i="493"/>
  <c r="AI91" i="493"/>
  <c r="AI90" i="493"/>
  <c r="AI89" i="493"/>
  <c r="AG89" i="493"/>
  <c r="AK88" i="493"/>
  <c r="AJ88" i="493"/>
  <c r="AI88" i="493"/>
  <c r="AG88" i="493"/>
  <c r="AI85" i="493"/>
  <c r="AI84" i="493"/>
  <c r="AI83" i="493"/>
  <c r="AI82" i="493"/>
  <c r="AI81" i="493"/>
  <c r="AI80" i="493"/>
  <c r="AI79" i="493"/>
  <c r="AI78" i="493"/>
  <c r="AI77" i="493"/>
  <c r="AI76" i="493"/>
  <c r="AI73" i="493"/>
  <c r="AI72" i="493"/>
  <c r="AI71" i="493"/>
  <c r="AG71" i="493"/>
  <c r="AK70" i="493"/>
  <c r="AJ70" i="493"/>
  <c r="AI70" i="493"/>
  <c r="AG70" i="493"/>
  <c r="AI65" i="493"/>
  <c r="AI64" i="493"/>
  <c r="AI63" i="493"/>
  <c r="AI62" i="493"/>
  <c r="AI61" i="493"/>
  <c r="AI60" i="493"/>
  <c r="AI59" i="493"/>
  <c r="AI58" i="493"/>
  <c r="AI57" i="493"/>
  <c r="AI56" i="493"/>
  <c r="AI55" i="493"/>
  <c r="AI54" i="493"/>
  <c r="AI53" i="493"/>
  <c r="AI51" i="493"/>
  <c r="AI49" i="493"/>
  <c r="AI47" i="493"/>
  <c r="AI45" i="493"/>
  <c r="AI44" i="493"/>
  <c r="AI41" i="493"/>
  <c r="AI40" i="493"/>
  <c r="AI39" i="493"/>
  <c r="AG39" i="493"/>
  <c r="AK38" i="493"/>
  <c r="AJ38" i="493"/>
  <c r="AI38" i="493"/>
  <c r="AG38" i="493"/>
  <c r="AI33" i="493"/>
  <c r="AI32" i="493"/>
  <c r="AI30" i="493"/>
  <c r="AI29" i="493"/>
  <c r="AI28" i="493"/>
  <c r="AI27" i="493"/>
  <c r="AG27" i="493"/>
  <c r="AK26" i="493"/>
  <c r="AJ26" i="493"/>
  <c r="AI26" i="493"/>
  <c r="AG26" i="493"/>
  <c r="AI23" i="493"/>
  <c r="AI22" i="493"/>
  <c r="AI21" i="493"/>
  <c r="AI20" i="493"/>
  <c r="AI19" i="493"/>
  <c r="AI18" i="493"/>
  <c r="AI17" i="493"/>
  <c r="AI15" i="493"/>
  <c r="AI13" i="493"/>
  <c r="AI12" i="493"/>
  <c r="AI11" i="493"/>
  <c r="AG11" i="493"/>
  <c r="AK10" i="493"/>
  <c r="AJ10" i="493"/>
  <c r="AI10" i="493"/>
  <c r="AG10" i="493"/>
  <c r="AG8" i="493"/>
  <c r="AG5" i="493"/>
  <c r="AI539" i="492"/>
  <c r="AI537" i="492"/>
  <c r="AI536" i="492"/>
  <c r="AG536" i="492"/>
  <c r="AI535" i="492"/>
  <c r="AG535" i="492"/>
  <c r="AI533" i="492"/>
  <c r="AI531" i="492"/>
  <c r="AI530" i="492"/>
  <c r="AG530" i="492"/>
  <c r="AI529" i="492"/>
  <c r="AG529" i="492"/>
  <c r="AG527" i="492"/>
  <c r="AG524" i="492"/>
  <c r="AI518" i="492"/>
  <c r="AI516" i="492"/>
  <c r="AG516" i="492"/>
  <c r="AJ515" i="492"/>
  <c r="AI515" i="492"/>
  <c r="AG515" i="492"/>
  <c r="AG513" i="492"/>
  <c r="AJ512" i="492"/>
  <c r="AG512" i="492"/>
  <c r="AI510" i="492"/>
  <c r="AI508" i="492"/>
  <c r="AI507" i="492"/>
  <c r="AJ506" i="492"/>
  <c r="AI506" i="492"/>
  <c r="AG506" i="492"/>
  <c r="AI503" i="492"/>
  <c r="AI502" i="492"/>
  <c r="AI501" i="492"/>
  <c r="AI500" i="492"/>
  <c r="AI499" i="492"/>
  <c r="AI498" i="492"/>
  <c r="AI497" i="492"/>
  <c r="AI496" i="492"/>
  <c r="AI495" i="492"/>
  <c r="AI494" i="492"/>
  <c r="AI493" i="492"/>
  <c r="AI492" i="492"/>
  <c r="AG492" i="492"/>
  <c r="AK491" i="492"/>
  <c r="AJ491" i="492"/>
  <c r="AI491" i="492"/>
  <c r="AH491" i="492"/>
  <c r="AG491" i="492"/>
  <c r="AI487" i="492"/>
  <c r="AI486" i="492"/>
  <c r="AI485" i="492"/>
  <c r="AI484" i="492"/>
  <c r="AI483" i="492"/>
  <c r="AI482" i="492"/>
  <c r="AI481" i="492"/>
  <c r="AI480" i="492"/>
  <c r="AI479" i="492"/>
  <c r="AI478" i="492"/>
  <c r="AI477" i="492"/>
  <c r="AI476" i="492"/>
  <c r="AI475" i="492"/>
  <c r="AI474" i="492"/>
  <c r="AI472" i="492"/>
  <c r="AG471" i="492"/>
  <c r="AJ470" i="492"/>
  <c r="AI470" i="492"/>
  <c r="AH470" i="492"/>
  <c r="AG470" i="492"/>
  <c r="AI466" i="492"/>
  <c r="AI465" i="492"/>
  <c r="AI464" i="492"/>
  <c r="AI462" i="492"/>
  <c r="AI460" i="492"/>
  <c r="AI459" i="492"/>
  <c r="AI458" i="492"/>
  <c r="AI457" i="492"/>
  <c r="AI456" i="492"/>
  <c r="AI455" i="492"/>
  <c r="AI454" i="492"/>
  <c r="AI453" i="492"/>
  <c r="AI452" i="492"/>
  <c r="AI451" i="492"/>
  <c r="AI450" i="492"/>
  <c r="AI449" i="492"/>
  <c r="AI447" i="492"/>
  <c r="AG446" i="492"/>
  <c r="AJ445" i="492"/>
  <c r="AI445" i="492"/>
  <c r="AG445" i="492"/>
  <c r="AI441" i="492"/>
  <c r="AI440" i="492"/>
  <c r="AI439" i="492"/>
  <c r="AI437" i="492"/>
  <c r="AI435" i="492"/>
  <c r="AI434" i="492"/>
  <c r="AI433" i="492"/>
  <c r="AI432" i="492"/>
  <c r="AI431" i="492"/>
  <c r="AI430" i="492"/>
  <c r="AI429" i="492"/>
  <c r="AI428" i="492"/>
  <c r="AI427" i="492"/>
  <c r="AI426" i="492"/>
  <c r="AI425" i="492"/>
  <c r="AI424" i="492"/>
  <c r="AI422" i="492"/>
  <c r="AG421" i="492"/>
  <c r="AJ420" i="492"/>
  <c r="AI420" i="492"/>
  <c r="AH420" i="492"/>
  <c r="AG420" i="492"/>
  <c r="AI416" i="492"/>
  <c r="AI415" i="492"/>
  <c r="AI414" i="492"/>
  <c r="AI413" i="492"/>
  <c r="AI412" i="492"/>
  <c r="AI411" i="492"/>
  <c r="AI410" i="492"/>
  <c r="AI409" i="492"/>
  <c r="AI408" i="492"/>
  <c r="AI407" i="492"/>
  <c r="AI406" i="492"/>
  <c r="AI405" i="492"/>
  <c r="AI404" i="492"/>
  <c r="AI403" i="492"/>
  <c r="AI401" i="492"/>
  <c r="AG400" i="492"/>
  <c r="AJ399" i="492"/>
  <c r="AI399" i="492"/>
  <c r="AH399" i="492"/>
  <c r="AG399" i="492"/>
  <c r="AI395" i="492"/>
  <c r="AI394" i="492"/>
  <c r="AI393" i="492"/>
  <c r="AI392" i="492"/>
  <c r="AI391" i="492"/>
  <c r="AI390" i="492"/>
  <c r="AI389" i="492"/>
  <c r="AI388" i="492"/>
  <c r="AI387" i="492"/>
  <c r="AI386" i="492"/>
  <c r="AI385" i="492"/>
  <c r="AI384" i="492"/>
  <c r="AI383" i="492"/>
  <c r="AI381" i="492"/>
  <c r="AG380" i="492"/>
  <c r="AJ379" i="492"/>
  <c r="AI379" i="492"/>
  <c r="AH379" i="492"/>
  <c r="AG379" i="492"/>
  <c r="AI375" i="492"/>
  <c r="AI374" i="492"/>
  <c r="AI373" i="492"/>
  <c r="AI371" i="492"/>
  <c r="AI369" i="492"/>
  <c r="AI368" i="492"/>
  <c r="AI367" i="492"/>
  <c r="AI366" i="492"/>
  <c r="AI365" i="492"/>
  <c r="AI364" i="492"/>
  <c r="AI363" i="492"/>
  <c r="AI362" i="492"/>
  <c r="AI361" i="492"/>
  <c r="AI360" i="492"/>
  <c r="AI359" i="492"/>
  <c r="AI358" i="492"/>
  <c r="AI356" i="492"/>
  <c r="AG355" i="492"/>
  <c r="AJ354" i="492"/>
  <c r="AI354" i="492"/>
  <c r="AH354" i="492"/>
  <c r="AG354" i="492"/>
  <c r="AI350" i="492"/>
  <c r="AI349" i="492"/>
  <c r="AI348" i="492"/>
  <c r="AI346" i="492"/>
  <c r="AI344" i="492"/>
  <c r="AI343" i="492"/>
  <c r="AI342" i="492"/>
  <c r="AI341" i="492"/>
  <c r="AI340" i="492"/>
  <c r="AI339" i="492"/>
  <c r="AI338" i="492"/>
  <c r="AI337" i="492"/>
  <c r="AI336" i="492"/>
  <c r="AI335" i="492"/>
  <c r="AI334" i="492"/>
  <c r="AI332" i="492"/>
  <c r="AG331" i="492"/>
  <c r="AJ330" i="492"/>
  <c r="AI330" i="492"/>
  <c r="AH330" i="492"/>
  <c r="AG330" i="492"/>
  <c r="AI326" i="492"/>
  <c r="AI325" i="492"/>
  <c r="AI323" i="492"/>
  <c r="AI322" i="492"/>
  <c r="AI320" i="492"/>
  <c r="AI319" i="492"/>
  <c r="AI318" i="492"/>
  <c r="AI317" i="492"/>
  <c r="AI316" i="492"/>
  <c r="AI315" i="492"/>
  <c r="AI314" i="492"/>
  <c r="AI313" i="492"/>
  <c r="AI312" i="492"/>
  <c r="AI311" i="492"/>
  <c r="AI310" i="492"/>
  <c r="AG310" i="492"/>
  <c r="AJ309" i="492"/>
  <c r="AI309" i="492"/>
  <c r="AH309" i="492"/>
  <c r="AG309" i="492"/>
  <c r="AI305" i="492"/>
  <c r="AI304" i="492"/>
  <c r="AI302" i="492"/>
  <c r="AI301" i="492"/>
  <c r="AI299" i="492"/>
  <c r="AI298" i="492"/>
  <c r="AI297" i="492"/>
  <c r="AI296" i="492"/>
  <c r="AI295" i="492"/>
  <c r="AI294" i="492"/>
  <c r="AI293" i="492"/>
  <c r="AI292" i="492"/>
  <c r="AI291" i="492"/>
  <c r="AI290" i="492"/>
  <c r="AG290" i="492"/>
  <c r="AJ289" i="492"/>
  <c r="AI289" i="492"/>
  <c r="AH289" i="492"/>
  <c r="AG289" i="492"/>
  <c r="AI285" i="492"/>
  <c r="AI284" i="492"/>
  <c r="AI282" i="492"/>
  <c r="AI281" i="492"/>
  <c r="AI279" i="492"/>
  <c r="AI278" i="492"/>
  <c r="AI277" i="492"/>
  <c r="AI276" i="492"/>
  <c r="AI275" i="492"/>
  <c r="AI274" i="492"/>
  <c r="AI273" i="492"/>
  <c r="AI272" i="492"/>
  <c r="AI271" i="492"/>
  <c r="AI270" i="492"/>
  <c r="AI269" i="492"/>
  <c r="AI268" i="492"/>
  <c r="AI267" i="492"/>
  <c r="AG266" i="492"/>
  <c r="AJ265" i="492"/>
  <c r="AI265" i="492"/>
  <c r="AH265" i="492"/>
  <c r="AG265" i="492"/>
  <c r="AI261" i="492"/>
  <c r="AI260" i="492"/>
  <c r="AI258" i="492"/>
  <c r="AI257" i="492"/>
  <c r="AI255" i="492"/>
  <c r="AI254" i="492"/>
  <c r="AI253" i="492"/>
  <c r="AI252" i="492"/>
  <c r="AI251" i="492"/>
  <c r="AI250" i="492"/>
  <c r="AI249" i="492"/>
  <c r="AI248" i="492"/>
  <c r="AI247" i="492"/>
  <c r="AI246" i="492"/>
  <c r="AI245" i="492"/>
  <c r="AI244" i="492"/>
  <c r="AI243" i="492"/>
  <c r="AG242" i="492"/>
  <c r="AJ241" i="492"/>
  <c r="AI241" i="492"/>
  <c r="AH241" i="492"/>
  <c r="AG241" i="492"/>
  <c r="AI237" i="492"/>
  <c r="AI236" i="492"/>
  <c r="AI234" i="492"/>
  <c r="AI233" i="492"/>
  <c r="AI231" i="492"/>
  <c r="AI230" i="492"/>
  <c r="AI229" i="492"/>
  <c r="AI228" i="492"/>
  <c r="AI227" i="492"/>
  <c r="AI226" i="492"/>
  <c r="AI225" i="492"/>
  <c r="AI224" i="492"/>
  <c r="AI223" i="492"/>
  <c r="AI222" i="492"/>
  <c r="AI221" i="492"/>
  <c r="AI220" i="492"/>
  <c r="AG219" i="492"/>
  <c r="AJ218" i="492"/>
  <c r="AI218" i="492"/>
  <c r="AH218" i="492"/>
  <c r="AG218" i="492"/>
  <c r="AI214" i="492"/>
  <c r="AI213" i="492"/>
  <c r="AI212" i="492"/>
  <c r="AI211" i="492"/>
  <c r="AI210" i="492"/>
  <c r="AI209" i="492"/>
  <c r="AI208" i="492"/>
  <c r="AI207" i="492"/>
  <c r="AI206" i="492"/>
  <c r="AI205" i="492"/>
  <c r="AI204" i="492"/>
  <c r="AI203" i="492"/>
  <c r="AI202" i="492"/>
  <c r="AI200" i="492"/>
  <c r="AG200" i="492"/>
  <c r="AJ199" i="492"/>
  <c r="AI199" i="492"/>
  <c r="AG199" i="492"/>
  <c r="AI195" i="492"/>
  <c r="AI194" i="492"/>
  <c r="AI193" i="492"/>
  <c r="AI192" i="492"/>
  <c r="AI191" i="492"/>
  <c r="AI190" i="492"/>
  <c r="AI189" i="492"/>
  <c r="AI188" i="492"/>
  <c r="AI187" i="492"/>
  <c r="AI186" i="492"/>
  <c r="AI185" i="492"/>
  <c r="AI184" i="492"/>
  <c r="AI183" i="492"/>
  <c r="AI182" i="492"/>
  <c r="AI180" i="492"/>
  <c r="AG180" i="492"/>
  <c r="AJ179" i="492"/>
  <c r="AI179" i="492"/>
  <c r="AG179" i="492"/>
  <c r="AI175" i="492"/>
  <c r="AI174" i="492"/>
  <c r="AI173" i="492"/>
  <c r="AI172" i="492"/>
  <c r="AI171" i="492"/>
  <c r="AI170" i="492"/>
  <c r="AI169" i="492"/>
  <c r="AI168" i="492"/>
  <c r="AI167" i="492"/>
  <c r="AI166" i="492"/>
  <c r="AI165" i="492"/>
  <c r="AI164" i="492"/>
  <c r="AI163" i="492"/>
  <c r="AI162" i="492"/>
  <c r="AI161" i="492"/>
  <c r="AI160" i="492"/>
  <c r="AI159" i="492"/>
  <c r="AI157" i="492"/>
  <c r="AG157" i="492"/>
  <c r="AJ156" i="492"/>
  <c r="AI156" i="492"/>
  <c r="AG156" i="492"/>
  <c r="AI152" i="492"/>
  <c r="AI151" i="492"/>
  <c r="AI150" i="492"/>
  <c r="AI149" i="492"/>
  <c r="AI148" i="492"/>
  <c r="AI147" i="492"/>
  <c r="AI146" i="492"/>
  <c r="AI145" i="492"/>
  <c r="AI144" i="492"/>
  <c r="AI143" i="492"/>
  <c r="AI142" i="492"/>
  <c r="AI141" i="492"/>
  <c r="AI140" i="492"/>
  <c r="AI139" i="492"/>
  <c r="AI138" i="492"/>
  <c r="AI137" i="492"/>
  <c r="AI136" i="492"/>
  <c r="AI135" i="492"/>
  <c r="AI133" i="492"/>
  <c r="AG133" i="492"/>
  <c r="AJ132" i="492"/>
  <c r="AI132" i="492"/>
  <c r="AG132" i="492"/>
  <c r="AI128" i="492"/>
  <c r="AI127" i="492"/>
  <c r="AI126" i="492"/>
  <c r="AI125" i="492"/>
  <c r="AI124" i="492"/>
  <c r="AI123" i="492"/>
  <c r="AI122" i="492"/>
  <c r="AI121" i="492"/>
  <c r="AI120" i="492"/>
  <c r="AI119" i="492"/>
  <c r="AI118" i="492"/>
  <c r="AI117" i="492"/>
  <c r="AI116" i="492"/>
  <c r="AI115" i="492"/>
  <c r="AI113" i="492"/>
  <c r="AG113" i="492"/>
  <c r="AJ112" i="492"/>
  <c r="AI112" i="492"/>
  <c r="AH112" i="492"/>
  <c r="AG112" i="492"/>
  <c r="AI108" i="492"/>
  <c r="AI107" i="492"/>
  <c r="AI106" i="492"/>
  <c r="AI105" i="492"/>
  <c r="AI104" i="492"/>
  <c r="AI103" i="492"/>
  <c r="AI102" i="492"/>
  <c r="AI101" i="492"/>
  <c r="AI100" i="492"/>
  <c r="AI99" i="492"/>
  <c r="AI98" i="492"/>
  <c r="AI97" i="492"/>
  <c r="AI96" i="492"/>
  <c r="AI95" i="492"/>
  <c r="AI94" i="492"/>
  <c r="AI92" i="492"/>
  <c r="AG92" i="492"/>
  <c r="AJ91" i="492"/>
  <c r="AI91" i="492"/>
  <c r="AH91" i="492"/>
  <c r="AG91" i="492"/>
  <c r="AI85" i="492"/>
  <c r="AI83" i="492"/>
  <c r="AI82" i="492"/>
  <c r="AI81" i="492"/>
  <c r="AI80" i="492"/>
  <c r="AI79" i="492"/>
  <c r="AI78" i="492"/>
  <c r="AI77" i="492"/>
  <c r="AI76" i="492"/>
  <c r="AI75" i="492"/>
  <c r="AI74" i="492"/>
  <c r="AI73" i="492"/>
  <c r="AI71" i="492"/>
  <c r="AI70" i="492"/>
  <c r="AI69" i="492"/>
  <c r="AI68" i="492"/>
  <c r="AI67" i="492"/>
  <c r="AI66" i="492"/>
  <c r="AG66" i="492"/>
  <c r="AK65" i="492"/>
  <c r="AJ65" i="492"/>
  <c r="AI65" i="492"/>
  <c r="AG65" i="492"/>
  <c r="AI62" i="492"/>
  <c r="AI61" i="492"/>
  <c r="AI60" i="492"/>
  <c r="AI59" i="492"/>
  <c r="AI58" i="492"/>
  <c r="AI57" i="492"/>
  <c r="AI56" i="492"/>
  <c r="AI55" i="492"/>
  <c r="AI54" i="492"/>
  <c r="AG53" i="492"/>
  <c r="AJ52" i="492"/>
  <c r="AI52" i="492"/>
  <c r="AG52" i="492"/>
  <c r="AI51" i="492"/>
  <c r="AI50" i="492"/>
  <c r="AI48" i="492"/>
  <c r="AI46" i="492"/>
  <c r="AJ45" i="492"/>
  <c r="AI45" i="492"/>
  <c r="AG45" i="492"/>
  <c r="AI43" i="492"/>
  <c r="AI42" i="492"/>
  <c r="AI40" i="492"/>
  <c r="AI38" i="492"/>
  <c r="AI37" i="492"/>
  <c r="AI36" i="492"/>
  <c r="AG36" i="492"/>
  <c r="AJ35" i="492"/>
  <c r="AI35" i="492"/>
  <c r="AG35" i="492"/>
  <c r="AI33" i="492"/>
  <c r="AI32" i="492"/>
  <c r="AI31" i="492"/>
  <c r="AI30" i="492"/>
  <c r="AI29" i="492"/>
  <c r="AI28" i="492"/>
  <c r="AI26" i="492"/>
  <c r="AI24" i="492"/>
  <c r="AI23" i="492"/>
  <c r="AI22" i="492"/>
  <c r="AG22" i="492"/>
  <c r="AJ21" i="492"/>
  <c r="AI21" i="492"/>
  <c r="AG21" i="492"/>
  <c r="AI18" i="492"/>
  <c r="AI17" i="492"/>
  <c r="AI15" i="492"/>
  <c r="AI13" i="492"/>
  <c r="AI12" i="492"/>
  <c r="AI11" i="492"/>
  <c r="AK10" i="492"/>
  <c r="AJ10" i="492"/>
  <c r="AI10" i="492"/>
  <c r="AG10" i="492"/>
  <c r="AG8" i="492"/>
  <c r="AG5" i="492"/>
  <c r="AI1150" i="491"/>
  <c r="AI1149" i="491"/>
  <c r="AI1148" i="491"/>
  <c r="AI1147" i="491"/>
  <c r="AI1146" i="491"/>
  <c r="AI1145" i="491"/>
  <c r="AI1144" i="491"/>
  <c r="AI1143" i="491"/>
  <c r="AI1142" i="491"/>
  <c r="AI1141" i="491"/>
  <c r="AI1140" i="491"/>
  <c r="AI1138" i="491"/>
  <c r="AI1136" i="491"/>
  <c r="AI1134" i="491"/>
  <c r="AI1132" i="491"/>
  <c r="AI1131" i="491"/>
  <c r="AI1130" i="491"/>
  <c r="AI1129" i="491"/>
  <c r="AG1129" i="491"/>
  <c r="AI1128" i="491"/>
  <c r="AG1128" i="491"/>
  <c r="AI1127" i="491"/>
  <c r="AI1126" i="491"/>
  <c r="AI1124" i="491"/>
  <c r="AI1123" i="491"/>
  <c r="AI1121" i="491"/>
  <c r="AI1119" i="491"/>
  <c r="AI1118" i="491"/>
  <c r="AI1117" i="491"/>
  <c r="AG1117" i="491"/>
  <c r="AI1116" i="491"/>
  <c r="AG1116" i="491"/>
  <c r="AI1114" i="491"/>
  <c r="AI1112" i="491"/>
  <c r="AI1111" i="491"/>
  <c r="AG1111" i="491"/>
  <c r="AI1110" i="491"/>
  <c r="AG1110" i="491"/>
  <c r="AI1109" i="491"/>
  <c r="AI1108" i="491"/>
  <c r="AI1106" i="491"/>
  <c r="AI1104" i="491"/>
  <c r="AI1103" i="491"/>
  <c r="AI1101" i="491"/>
  <c r="AI1099" i="491"/>
  <c r="AI1097" i="491"/>
  <c r="AI1095" i="491"/>
  <c r="AI1093" i="491"/>
  <c r="AI1092" i="491"/>
  <c r="AI1091" i="491"/>
  <c r="AG1089" i="491"/>
  <c r="AI1088" i="491"/>
  <c r="AG1088" i="491"/>
  <c r="AG1086" i="491"/>
  <c r="AG1083" i="491"/>
  <c r="AI1077" i="491"/>
  <c r="AI1076" i="491"/>
  <c r="AI1075" i="491"/>
  <c r="AI1074" i="491"/>
  <c r="AI1073" i="491"/>
  <c r="AI1072" i="491"/>
  <c r="AI1071" i="491"/>
  <c r="AI1070" i="491"/>
  <c r="AI1069" i="491"/>
  <c r="AI1068" i="491"/>
  <c r="AI1067" i="491"/>
  <c r="AI1066" i="491"/>
  <c r="AI1064" i="491"/>
  <c r="AI1063" i="491"/>
  <c r="AI1062" i="491"/>
  <c r="AI1061" i="491"/>
  <c r="AI1060" i="491"/>
  <c r="AI1059" i="491"/>
  <c r="AI1057" i="491"/>
  <c r="AG1056" i="491"/>
  <c r="AJ1055" i="491"/>
  <c r="AI1055" i="491"/>
  <c r="AH1055" i="491"/>
  <c r="AG1055" i="491"/>
  <c r="AI1052" i="491"/>
  <c r="AI1051" i="491"/>
  <c r="AI1050" i="491"/>
  <c r="AI1049" i="491"/>
  <c r="AI1048" i="491"/>
  <c r="AI1047" i="491"/>
  <c r="AI1046" i="491"/>
  <c r="AI1045" i="491"/>
  <c r="AI1044" i="491"/>
  <c r="AI1043" i="491"/>
  <c r="AI1042" i="491"/>
  <c r="AI1041" i="491"/>
  <c r="AI1039" i="491"/>
  <c r="AI1037" i="491"/>
  <c r="AI1035" i="491"/>
  <c r="AI1034" i="491"/>
  <c r="AI1033" i="491"/>
  <c r="AI1032" i="491"/>
  <c r="AI1031" i="491"/>
  <c r="AI1030" i="491"/>
  <c r="AI1028" i="491"/>
  <c r="AI1027" i="491"/>
  <c r="AI1026" i="491"/>
  <c r="AI1025" i="491"/>
  <c r="AI1024" i="491"/>
  <c r="AI1023" i="491"/>
  <c r="AI1021" i="491"/>
  <c r="AG1020" i="491"/>
  <c r="AJ1019" i="491"/>
  <c r="AI1019" i="491"/>
  <c r="AG1019" i="491"/>
  <c r="AI1016" i="491"/>
  <c r="AI1015" i="491"/>
  <c r="AI1014" i="491"/>
  <c r="AI1013" i="491"/>
  <c r="AI1012" i="491"/>
  <c r="AI1011" i="491"/>
  <c r="AI1010" i="491"/>
  <c r="AI1009" i="491"/>
  <c r="AI1008" i="491"/>
  <c r="AI1007" i="491"/>
  <c r="AI1006" i="491"/>
  <c r="AI1005" i="491"/>
  <c r="AI1003" i="491"/>
  <c r="AI1001" i="491"/>
  <c r="AI999" i="491"/>
  <c r="AI998" i="491"/>
  <c r="AI997" i="491"/>
  <c r="AI996" i="491"/>
  <c r="AI995" i="491"/>
  <c r="AI994" i="491"/>
  <c r="AI992" i="491"/>
  <c r="AI991" i="491"/>
  <c r="AI990" i="491"/>
  <c r="AI989" i="491"/>
  <c r="AI988" i="491"/>
  <c r="AI987" i="491"/>
  <c r="AI985" i="491"/>
  <c r="AG984" i="491"/>
  <c r="AJ983" i="491"/>
  <c r="AI983" i="491"/>
  <c r="AH983" i="491"/>
  <c r="AG983" i="491"/>
  <c r="AI980" i="491"/>
  <c r="AI979" i="491"/>
  <c r="AI978" i="491"/>
  <c r="AI977" i="491"/>
  <c r="AI976" i="491"/>
  <c r="AI975" i="491"/>
  <c r="AI974" i="491"/>
  <c r="AI973" i="491"/>
  <c r="AI972" i="491"/>
  <c r="AI971" i="491"/>
  <c r="AI970" i="491"/>
  <c r="AI969" i="491"/>
  <c r="AI968" i="491"/>
  <c r="AI966" i="491"/>
  <c r="AI965" i="491"/>
  <c r="AI964" i="491"/>
  <c r="AI963" i="491"/>
  <c r="AI962" i="491"/>
  <c r="AI960" i="491"/>
  <c r="AG959" i="491"/>
  <c r="AJ958" i="491"/>
  <c r="AI958" i="491"/>
  <c r="AH958" i="491"/>
  <c r="AG958" i="491"/>
  <c r="AI955" i="491"/>
  <c r="AI954" i="491"/>
  <c r="AI953" i="491"/>
  <c r="AI952" i="491"/>
  <c r="AI951" i="491"/>
  <c r="AI950" i="491"/>
  <c r="AI949" i="491"/>
  <c r="AI948" i="491"/>
  <c r="AI947" i="491"/>
  <c r="AI946" i="491"/>
  <c r="AI945" i="491"/>
  <c r="AI944" i="491"/>
  <c r="AI942" i="491"/>
  <c r="AI941" i="491"/>
  <c r="AI940" i="491"/>
  <c r="AI939" i="491"/>
  <c r="AI938" i="491"/>
  <c r="AI936" i="491"/>
  <c r="AG935" i="491"/>
  <c r="AJ934" i="491"/>
  <c r="AI934" i="491"/>
  <c r="AH934" i="491"/>
  <c r="AG934" i="491"/>
  <c r="AI931" i="491"/>
  <c r="AI930" i="491"/>
  <c r="AI929" i="491"/>
  <c r="AI928" i="491"/>
  <c r="AI927" i="491"/>
  <c r="AI926" i="491"/>
  <c r="AI925" i="491"/>
  <c r="AI924" i="491"/>
  <c r="AI923" i="491"/>
  <c r="AI922" i="491"/>
  <c r="AI921" i="491"/>
  <c r="AI920" i="491"/>
  <c r="AI918" i="491"/>
  <c r="AI916" i="491"/>
  <c r="AI914" i="491"/>
  <c r="AI913" i="491"/>
  <c r="AI912" i="491"/>
  <c r="AI911" i="491"/>
  <c r="AI910" i="491"/>
  <c r="AI909" i="491"/>
  <c r="AI908" i="491"/>
  <c r="AI906" i="491"/>
  <c r="AI905" i="491"/>
  <c r="AI904" i="491"/>
  <c r="AI903" i="491"/>
  <c r="AI902" i="491"/>
  <c r="AI900" i="491"/>
  <c r="AG899" i="491"/>
  <c r="AJ898" i="491"/>
  <c r="AI898" i="491"/>
  <c r="AH898" i="491"/>
  <c r="AG898" i="491"/>
  <c r="AI895" i="491"/>
  <c r="AI894" i="491"/>
  <c r="AI893" i="491"/>
  <c r="AI892" i="491"/>
  <c r="AI891" i="491"/>
  <c r="AI890" i="491"/>
  <c r="AI889" i="491"/>
  <c r="AI888" i="491"/>
  <c r="AI887" i="491"/>
  <c r="AI886" i="491"/>
  <c r="AI885" i="491"/>
  <c r="AI884" i="491"/>
  <c r="AI882" i="491"/>
  <c r="AI880" i="491"/>
  <c r="AI878" i="491"/>
  <c r="AI877" i="491"/>
  <c r="AI876" i="491"/>
  <c r="AI875" i="491"/>
  <c r="AI874" i="491"/>
  <c r="AI873" i="491"/>
  <c r="AI871" i="491"/>
  <c r="AI870" i="491"/>
  <c r="AI869" i="491"/>
  <c r="AI868" i="491"/>
  <c r="AI867" i="491"/>
  <c r="AI865" i="491"/>
  <c r="AG864" i="491"/>
  <c r="AJ863" i="491"/>
  <c r="AI863" i="491"/>
  <c r="AH863" i="491"/>
  <c r="AG863" i="491"/>
  <c r="AI860" i="491"/>
  <c r="AI859" i="491"/>
  <c r="AI858" i="491"/>
  <c r="AI857" i="491"/>
  <c r="AI856" i="491"/>
  <c r="AI855" i="491"/>
  <c r="AI854" i="491"/>
  <c r="AI853" i="491"/>
  <c r="AI852" i="491"/>
  <c r="AI851" i="491"/>
  <c r="AI850" i="491"/>
  <c r="AI849" i="491"/>
  <c r="AI847" i="491"/>
  <c r="AI846" i="491"/>
  <c r="AI845" i="491"/>
  <c r="AI844" i="491"/>
  <c r="AI843" i="491"/>
  <c r="AI842" i="491"/>
  <c r="AI839" i="491"/>
  <c r="AG839" i="491"/>
  <c r="AJ838" i="491"/>
  <c r="AI838" i="491"/>
  <c r="AG838" i="491"/>
  <c r="AI835" i="491"/>
  <c r="AI834" i="491"/>
  <c r="AI833" i="491"/>
  <c r="AI832" i="491"/>
  <c r="AI831" i="491"/>
  <c r="AI830" i="491"/>
  <c r="AI829" i="491"/>
  <c r="AI828" i="491"/>
  <c r="AI827" i="491"/>
  <c r="AI826" i="491"/>
  <c r="AI825" i="491"/>
  <c r="AI824" i="491"/>
  <c r="AI823" i="491"/>
  <c r="AI821" i="491"/>
  <c r="AI820" i="491"/>
  <c r="AI819" i="491"/>
  <c r="AI818" i="491"/>
  <c r="AI817" i="491"/>
  <c r="AI816" i="491"/>
  <c r="AI813" i="491"/>
  <c r="AG813" i="491"/>
  <c r="AJ812" i="491"/>
  <c r="AI812" i="491"/>
  <c r="AG812" i="491"/>
  <c r="AI809" i="491"/>
  <c r="AI808" i="491"/>
  <c r="AI807" i="491"/>
  <c r="AI806" i="491"/>
  <c r="AI805" i="491"/>
  <c r="AI804" i="491"/>
  <c r="AI803" i="491"/>
  <c r="AI802" i="491"/>
  <c r="AI801" i="491"/>
  <c r="AI799" i="491"/>
  <c r="AI798" i="491"/>
  <c r="AI797" i="491"/>
  <c r="AI796" i="491"/>
  <c r="AI795" i="491"/>
  <c r="AI794" i="491"/>
  <c r="AI793" i="491"/>
  <c r="AI792" i="491"/>
  <c r="AI791" i="491"/>
  <c r="AI790" i="491"/>
  <c r="AI789" i="491"/>
  <c r="AI788" i="491"/>
  <c r="AI787" i="491"/>
  <c r="AI786" i="491"/>
  <c r="AI785" i="491"/>
  <c r="AI784" i="491"/>
  <c r="AI783" i="491"/>
  <c r="AI782" i="491"/>
  <c r="AI781" i="491"/>
  <c r="AI778" i="491"/>
  <c r="AG778" i="491"/>
  <c r="AJ777" i="491"/>
  <c r="AI777" i="491"/>
  <c r="AG777" i="491"/>
  <c r="AI774" i="491"/>
  <c r="AI773" i="491"/>
  <c r="AI772" i="491"/>
  <c r="AI771" i="491"/>
  <c r="AI770" i="491"/>
  <c r="AI769" i="491"/>
  <c r="AI768" i="491"/>
  <c r="AI767" i="491"/>
  <c r="AI766" i="491"/>
  <c r="AI764" i="491"/>
  <c r="AI763" i="491"/>
  <c r="AI762" i="491"/>
  <c r="AI761" i="491"/>
  <c r="AI760" i="491"/>
  <c r="AI759" i="491"/>
  <c r="AI758" i="491"/>
  <c r="AI757" i="491"/>
  <c r="AI756" i="491"/>
  <c r="AI755" i="491"/>
  <c r="AI754" i="491"/>
  <c r="AI753" i="491"/>
  <c r="AI752" i="491"/>
  <c r="AI751" i="491"/>
  <c r="AI750" i="491"/>
  <c r="AI749" i="491"/>
  <c r="AI748" i="491"/>
  <c r="AI747" i="491"/>
  <c r="AI746" i="491"/>
  <c r="AI745" i="491"/>
  <c r="AI742" i="491"/>
  <c r="AG742" i="491"/>
  <c r="AJ741" i="491"/>
  <c r="AI741" i="491"/>
  <c r="AG741" i="491"/>
  <c r="AI738" i="491"/>
  <c r="AI737" i="491"/>
  <c r="AI736" i="491"/>
  <c r="AI735" i="491"/>
  <c r="AI734" i="491"/>
  <c r="AI733" i="491"/>
  <c r="AI732" i="491"/>
  <c r="AI731" i="491"/>
  <c r="AI730" i="491"/>
  <c r="AI729" i="491"/>
  <c r="AI728" i="491"/>
  <c r="AI727" i="491"/>
  <c r="AI726" i="491"/>
  <c r="AI725" i="491"/>
  <c r="AI724" i="491"/>
  <c r="AI723" i="491"/>
  <c r="AI722" i="491"/>
  <c r="AI721" i="491"/>
  <c r="AI720" i="491"/>
  <c r="AI719" i="491"/>
  <c r="AI718" i="491"/>
  <c r="AI717" i="491"/>
  <c r="AI716" i="491"/>
  <c r="AI715" i="491"/>
  <c r="AI714" i="491"/>
  <c r="AI713" i="491"/>
  <c r="AI710" i="491"/>
  <c r="AG710" i="491"/>
  <c r="AJ709" i="491"/>
  <c r="AI709" i="491"/>
  <c r="AH709" i="491"/>
  <c r="AG709" i="491"/>
  <c r="AI706" i="491"/>
  <c r="AI705" i="491"/>
  <c r="AI704" i="491"/>
  <c r="AI703" i="491"/>
  <c r="AI702" i="491"/>
  <c r="AI701" i="491"/>
  <c r="AI700" i="491"/>
  <c r="AI699" i="491"/>
  <c r="AI698" i="491"/>
  <c r="AI697" i="491"/>
  <c r="AI696" i="491"/>
  <c r="AI695" i="491"/>
  <c r="AI694" i="491"/>
  <c r="AI693" i="491"/>
  <c r="AI692" i="491"/>
  <c r="AI691" i="491"/>
  <c r="AI690" i="491"/>
  <c r="AI689" i="491"/>
  <c r="AI688" i="491"/>
  <c r="AI687" i="491"/>
  <c r="AI686" i="491"/>
  <c r="AI685" i="491"/>
  <c r="AI684" i="491"/>
  <c r="AI683" i="491"/>
  <c r="AI682" i="491"/>
  <c r="AI681" i="491"/>
  <c r="AI680" i="491"/>
  <c r="AI677" i="491"/>
  <c r="AG677" i="491"/>
  <c r="AJ676" i="491"/>
  <c r="AI676" i="491"/>
  <c r="AH676" i="491"/>
  <c r="AG676" i="491"/>
  <c r="AI673" i="491"/>
  <c r="AI672" i="491"/>
  <c r="AI671" i="491"/>
  <c r="AI670" i="491"/>
  <c r="AI669" i="491"/>
  <c r="AI668" i="491"/>
  <c r="AI667" i="491"/>
  <c r="AI666" i="491"/>
  <c r="AI665" i="491"/>
  <c r="AI664" i="491"/>
  <c r="AI663" i="491"/>
  <c r="AI662" i="491"/>
  <c r="AI661" i="491"/>
  <c r="AI660" i="491"/>
  <c r="AI659" i="491"/>
  <c r="AI658" i="491"/>
  <c r="AI657" i="491"/>
  <c r="AI656" i="491"/>
  <c r="AI655" i="491"/>
  <c r="AI654" i="491"/>
  <c r="AI653" i="491"/>
  <c r="AI652" i="491"/>
  <c r="AI651" i="491"/>
  <c r="AI650" i="491"/>
  <c r="AI649" i="491"/>
  <c r="AI648" i="491"/>
  <c r="AI647" i="491"/>
  <c r="AI646" i="491"/>
  <c r="AI645" i="491"/>
  <c r="AI644" i="491"/>
  <c r="AI643" i="491"/>
  <c r="AI642" i="491"/>
  <c r="AI641" i="491"/>
  <c r="AI640" i="491"/>
  <c r="AI639" i="491"/>
  <c r="AI638" i="491"/>
  <c r="AI637" i="491"/>
  <c r="AG637" i="491"/>
  <c r="AK636" i="491"/>
  <c r="AJ636" i="491"/>
  <c r="AI636" i="491"/>
  <c r="AG636" i="491"/>
  <c r="AI634" i="491"/>
  <c r="AI633" i="491"/>
  <c r="AI632" i="491"/>
  <c r="AI631" i="491"/>
  <c r="AI629" i="491"/>
  <c r="AI627" i="491"/>
  <c r="AI626" i="491"/>
  <c r="AJ624" i="491"/>
  <c r="AI624" i="491"/>
  <c r="AG624" i="491"/>
  <c r="AI622" i="491"/>
  <c r="AI620" i="491"/>
  <c r="AI619" i="491"/>
  <c r="AJ618" i="491"/>
  <c r="AI618" i="491"/>
  <c r="AG618" i="491"/>
  <c r="AI615" i="491"/>
  <c r="AI614" i="491"/>
  <c r="AI613" i="491"/>
  <c r="AI612" i="491"/>
  <c r="AI611" i="491"/>
  <c r="AI610" i="491"/>
  <c r="AI609" i="491"/>
  <c r="AI608" i="491"/>
  <c r="AI607" i="491"/>
  <c r="AG607" i="491"/>
  <c r="AK606" i="491"/>
  <c r="AJ606" i="491"/>
  <c r="AI606" i="491"/>
  <c r="AG606" i="491"/>
  <c r="AI603" i="491"/>
  <c r="AI602" i="491"/>
  <c r="AI601" i="491"/>
  <c r="AI600" i="491"/>
  <c r="AI599" i="491"/>
  <c r="AI598" i="491"/>
  <c r="AI597" i="491"/>
  <c r="AI596" i="491"/>
  <c r="AI595" i="491"/>
  <c r="AI594" i="491"/>
  <c r="AI593" i="491"/>
  <c r="AI592" i="491"/>
  <c r="AI591" i="491"/>
  <c r="AI590" i="491"/>
  <c r="AI589" i="491"/>
  <c r="AI588" i="491"/>
  <c r="AI587" i="491"/>
  <c r="AG587" i="491"/>
  <c r="AK586" i="491"/>
  <c r="AJ586" i="491"/>
  <c r="AI586" i="491"/>
  <c r="AH586" i="491"/>
  <c r="AG586" i="491"/>
  <c r="AI581" i="491"/>
  <c r="AI580" i="491"/>
  <c r="AI579" i="491"/>
  <c r="AI578" i="491"/>
  <c r="AI577" i="491"/>
  <c r="AI576" i="491"/>
  <c r="AI575" i="491"/>
  <c r="AI574" i="491"/>
  <c r="AI573" i="491"/>
  <c r="AI572" i="491"/>
  <c r="AI571" i="491"/>
  <c r="AI570" i="491"/>
  <c r="AI569" i="491"/>
  <c r="AI568" i="491"/>
  <c r="AI566" i="491"/>
  <c r="AG565" i="491"/>
  <c r="AJ564" i="491"/>
  <c r="AI564" i="491"/>
  <c r="AH564" i="491"/>
  <c r="AG564" i="491"/>
  <c r="AI559" i="491"/>
  <c r="AI558" i="491"/>
  <c r="AI556" i="491"/>
  <c r="AI554" i="491"/>
  <c r="AI553" i="491"/>
  <c r="AI552" i="491"/>
  <c r="AI551" i="491"/>
  <c r="AI550" i="491"/>
  <c r="AI549" i="491"/>
  <c r="AI548" i="491"/>
  <c r="AI547" i="491"/>
  <c r="AI546" i="491"/>
  <c r="AI545" i="491"/>
  <c r="AI544" i="491"/>
  <c r="AI543" i="491"/>
  <c r="AI542" i="491"/>
  <c r="AI540" i="491"/>
  <c r="AG539" i="491"/>
  <c r="AJ538" i="491"/>
  <c r="AI538" i="491"/>
  <c r="AG538" i="491"/>
  <c r="AI533" i="491"/>
  <c r="AI532" i="491"/>
  <c r="AI530" i="491"/>
  <c r="AI528" i="491"/>
  <c r="AI527" i="491"/>
  <c r="AI526" i="491"/>
  <c r="AI525" i="491"/>
  <c r="AI524" i="491"/>
  <c r="AI523" i="491"/>
  <c r="AI522" i="491"/>
  <c r="AI521" i="491"/>
  <c r="AI520" i="491"/>
  <c r="AI519" i="491"/>
  <c r="AI518" i="491"/>
  <c r="AI517" i="491"/>
  <c r="AI516" i="491"/>
  <c r="AI514" i="491"/>
  <c r="AG513" i="491"/>
  <c r="AJ512" i="491"/>
  <c r="AI512" i="491"/>
  <c r="AH512" i="491"/>
  <c r="AG512" i="491"/>
  <c r="AI507" i="491"/>
  <c r="AI506" i="491"/>
  <c r="AI505" i="491"/>
  <c r="AI504" i="491"/>
  <c r="AI503" i="491"/>
  <c r="AI502" i="491"/>
  <c r="AI501" i="491"/>
  <c r="AI500" i="491"/>
  <c r="AI499" i="491"/>
  <c r="AI498" i="491"/>
  <c r="AI497" i="491"/>
  <c r="AI496" i="491"/>
  <c r="AI495" i="491"/>
  <c r="AI494" i="491"/>
  <c r="AI492" i="491"/>
  <c r="AG491" i="491"/>
  <c r="AJ490" i="491"/>
  <c r="AI490" i="491"/>
  <c r="AH490" i="491"/>
  <c r="AG490" i="491"/>
  <c r="AI485" i="491"/>
  <c r="AI484" i="491"/>
  <c r="AI483" i="491"/>
  <c r="AI482" i="491"/>
  <c r="AI481" i="491"/>
  <c r="AI480" i="491"/>
  <c r="AI479" i="491"/>
  <c r="AI478" i="491"/>
  <c r="AI477" i="491"/>
  <c r="AI476" i="491"/>
  <c r="AI475" i="491"/>
  <c r="AI474" i="491"/>
  <c r="AI473" i="491"/>
  <c r="AI471" i="491"/>
  <c r="AG470" i="491"/>
  <c r="AJ469" i="491"/>
  <c r="AI469" i="491"/>
  <c r="AH469" i="491"/>
  <c r="AG469" i="491"/>
  <c r="AI464" i="491"/>
  <c r="AI463" i="491"/>
  <c r="AI461" i="491"/>
  <c r="AI459" i="491"/>
  <c r="AI458" i="491"/>
  <c r="AI457" i="491"/>
  <c r="AI456" i="491"/>
  <c r="AI455" i="491"/>
  <c r="AI454" i="491"/>
  <c r="AI453" i="491"/>
  <c r="AI452" i="491"/>
  <c r="AI451" i="491"/>
  <c r="AI450" i="491"/>
  <c r="AI449" i="491"/>
  <c r="AI448" i="491"/>
  <c r="AI447" i="491"/>
  <c r="AI445" i="491"/>
  <c r="AG444" i="491"/>
  <c r="AJ443" i="491"/>
  <c r="AI443" i="491"/>
  <c r="AH443" i="491"/>
  <c r="AG443" i="491"/>
  <c r="AI438" i="491"/>
  <c r="AI437" i="491"/>
  <c r="AI435" i="491"/>
  <c r="AI433" i="491"/>
  <c r="AI432" i="491"/>
  <c r="AI431" i="491"/>
  <c r="AI430" i="491"/>
  <c r="AI429" i="491"/>
  <c r="AI428" i="491"/>
  <c r="AI427" i="491"/>
  <c r="AI426" i="491"/>
  <c r="AI425" i="491"/>
  <c r="AI424" i="491"/>
  <c r="AI423" i="491"/>
  <c r="AI422" i="491"/>
  <c r="AI420" i="491"/>
  <c r="AG419" i="491"/>
  <c r="AJ418" i="491"/>
  <c r="AI418" i="491"/>
  <c r="AH418" i="491"/>
  <c r="AG418" i="491"/>
  <c r="AI414" i="491"/>
  <c r="AI413" i="491"/>
  <c r="AI411" i="491"/>
  <c r="AI409" i="491"/>
  <c r="AI408" i="491"/>
  <c r="AI407" i="491"/>
  <c r="AI406" i="491"/>
  <c r="AI405" i="491"/>
  <c r="AI404" i="491"/>
  <c r="AI403" i="491"/>
  <c r="AI402" i="491"/>
  <c r="AI401" i="491"/>
  <c r="AI400" i="491"/>
  <c r="AI399" i="491"/>
  <c r="AI398" i="491"/>
  <c r="AG398" i="491"/>
  <c r="AJ397" i="491"/>
  <c r="AI397" i="491"/>
  <c r="AH397" i="491"/>
  <c r="AG397" i="491"/>
  <c r="AI393" i="491"/>
  <c r="AI392" i="491"/>
  <c r="AI390" i="491"/>
  <c r="AI389" i="491"/>
  <c r="AI387" i="491"/>
  <c r="AI386" i="491"/>
  <c r="AI385" i="491"/>
  <c r="AI384" i="491"/>
  <c r="AI383" i="491"/>
  <c r="AI382" i="491"/>
  <c r="AI381" i="491"/>
  <c r="AI380" i="491"/>
  <c r="AI379" i="491"/>
  <c r="AI378" i="491"/>
  <c r="AG378" i="491"/>
  <c r="AJ377" i="491"/>
  <c r="AI377" i="491"/>
  <c r="AH377" i="491"/>
  <c r="AG377" i="491"/>
  <c r="AI373" i="491"/>
  <c r="AI372" i="491"/>
  <c r="AI370" i="491"/>
  <c r="AI368" i="491"/>
  <c r="AI367" i="491"/>
  <c r="AI366" i="491"/>
  <c r="AI365" i="491"/>
  <c r="AI364" i="491"/>
  <c r="AI363" i="491"/>
  <c r="AI362" i="491"/>
  <c r="AI361" i="491"/>
  <c r="AI360" i="491"/>
  <c r="AI359" i="491"/>
  <c r="AI358" i="491"/>
  <c r="AI357" i="491"/>
  <c r="AI356" i="491"/>
  <c r="AI355" i="491"/>
  <c r="AG354" i="491"/>
  <c r="AJ353" i="491"/>
  <c r="AI353" i="491"/>
  <c r="AH353" i="491"/>
  <c r="AG353" i="491"/>
  <c r="AI349" i="491"/>
  <c r="AI348" i="491"/>
  <c r="AI346" i="491"/>
  <c r="AI344" i="491"/>
  <c r="AI343" i="491"/>
  <c r="AI342" i="491"/>
  <c r="AI341" i="491"/>
  <c r="AI340" i="491"/>
  <c r="AI339" i="491"/>
  <c r="AI338" i="491"/>
  <c r="AI337" i="491"/>
  <c r="AI336" i="491"/>
  <c r="AI335" i="491"/>
  <c r="AI334" i="491"/>
  <c r="AI333" i="491"/>
  <c r="AI332" i="491"/>
  <c r="AI331" i="491"/>
  <c r="AG330" i="491"/>
  <c r="AJ329" i="491"/>
  <c r="AI329" i="491"/>
  <c r="AH329" i="491"/>
  <c r="AG329" i="491"/>
  <c r="AI325" i="491"/>
  <c r="AI324" i="491"/>
  <c r="AI322" i="491"/>
  <c r="AI320" i="491"/>
  <c r="AI319" i="491"/>
  <c r="AI318" i="491"/>
  <c r="AI317" i="491"/>
  <c r="AI316" i="491"/>
  <c r="AI315" i="491"/>
  <c r="AI314" i="491"/>
  <c r="AI313" i="491"/>
  <c r="AI312" i="491"/>
  <c r="AI311" i="491"/>
  <c r="AI310" i="491"/>
  <c r="AI309" i="491"/>
  <c r="AI308" i="491"/>
  <c r="AG307" i="491"/>
  <c r="AJ306" i="491"/>
  <c r="AI306" i="491"/>
  <c r="AH306" i="491"/>
  <c r="AG306" i="491"/>
  <c r="AI302" i="491"/>
  <c r="AI301" i="491"/>
  <c r="AI300" i="491"/>
  <c r="AI299" i="491"/>
  <c r="AI298" i="491"/>
  <c r="AI297" i="491"/>
  <c r="AI296" i="491"/>
  <c r="AI295" i="491"/>
  <c r="AI294" i="491"/>
  <c r="AI293" i="491"/>
  <c r="AI292" i="491"/>
  <c r="AI291" i="491"/>
  <c r="AI290" i="491"/>
  <c r="AI289" i="491"/>
  <c r="AI287" i="491"/>
  <c r="AG287" i="491"/>
  <c r="AJ286" i="491"/>
  <c r="AI286" i="491"/>
  <c r="AG286" i="491"/>
  <c r="AI282" i="491"/>
  <c r="AI281" i="491"/>
  <c r="AI280" i="491"/>
  <c r="AI279" i="491"/>
  <c r="AI278" i="491"/>
  <c r="AI277" i="491"/>
  <c r="AI276" i="491"/>
  <c r="AI275" i="491"/>
  <c r="AI274" i="491"/>
  <c r="AI273" i="491"/>
  <c r="AI272" i="491"/>
  <c r="AI271" i="491"/>
  <c r="AI270" i="491"/>
  <c r="AI269" i="491"/>
  <c r="AI268" i="491"/>
  <c r="AI266" i="491"/>
  <c r="AG266" i="491"/>
  <c r="AJ265" i="491"/>
  <c r="AI265" i="491"/>
  <c r="AG265" i="491"/>
  <c r="AI261" i="491"/>
  <c r="AI260" i="491"/>
  <c r="AI259" i="491"/>
  <c r="AI258" i="491"/>
  <c r="AI257" i="491"/>
  <c r="AI256" i="491"/>
  <c r="AI255" i="491"/>
  <c r="AI254" i="491"/>
  <c r="AI253" i="491"/>
  <c r="AI252" i="491"/>
  <c r="AI251" i="491"/>
  <c r="AI250" i="491"/>
  <c r="AI249" i="491"/>
  <c r="AI248" i="491"/>
  <c r="AI247" i="491"/>
  <c r="AI246" i="491"/>
  <c r="AI245" i="491"/>
  <c r="AI244" i="491"/>
  <c r="AI242" i="491"/>
  <c r="AG242" i="491"/>
  <c r="AJ241" i="491"/>
  <c r="AI241" i="491"/>
  <c r="AG241" i="491"/>
  <c r="AI237" i="491"/>
  <c r="AI236" i="491"/>
  <c r="AI235" i="491"/>
  <c r="AI234" i="491"/>
  <c r="AI233" i="491"/>
  <c r="AI232" i="491"/>
  <c r="AI231" i="491"/>
  <c r="AI230" i="491"/>
  <c r="AI229" i="491"/>
  <c r="AI228" i="491"/>
  <c r="AI227" i="491"/>
  <c r="AI226" i="491"/>
  <c r="AI225" i="491"/>
  <c r="AI224" i="491"/>
  <c r="AI223" i="491"/>
  <c r="AI222" i="491"/>
  <c r="AI221" i="491"/>
  <c r="AI220" i="491"/>
  <c r="AI219" i="491"/>
  <c r="AI217" i="491"/>
  <c r="AG217" i="491"/>
  <c r="AJ216" i="491"/>
  <c r="AI216" i="491"/>
  <c r="AG216" i="491"/>
  <c r="AI212" i="491"/>
  <c r="AI211" i="491"/>
  <c r="AI210" i="491"/>
  <c r="AI209" i="491"/>
  <c r="AI208" i="491"/>
  <c r="AI207" i="491"/>
  <c r="AI206" i="491"/>
  <c r="AI205" i="491"/>
  <c r="AI204" i="491"/>
  <c r="AI203" i="491"/>
  <c r="AI202" i="491"/>
  <c r="AI201" i="491"/>
  <c r="AI200" i="491"/>
  <c r="AI199" i="491"/>
  <c r="AI198" i="491"/>
  <c r="AI196" i="491"/>
  <c r="AG196" i="491"/>
  <c r="AJ195" i="491"/>
  <c r="AI195" i="491"/>
  <c r="AH195" i="491"/>
  <c r="AG195" i="491"/>
  <c r="AI191" i="491"/>
  <c r="AI190" i="491"/>
  <c r="AI189" i="491"/>
  <c r="AI188" i="491"/>
  <c r="AI187" i="491"/>
  <c r="AI186" i="491"/>
  <c r="AI185" i="491"/>
  <c r="AI184" i="491"/>
  <c r="AI183" i="491"/>
  <c r="AI182" i="491"/>
  <c r="AI181" i="491"/>
  <c r="AI180" i="491"/>
  <c r="AI179" i="491"/>
  <c r="AI178" i="491"/>
  <c r="AI177" i="491"/>
  <c r="AI176" i="491"/>
  <c r="AI174" i="491"/>
  <c r="AG174" i="491"/>
  <c r="AJ173" i="491"/>
  <c r="AI173" i="491"/>
  <c r="AH173" i="491"/>
  <c r="AG173" i="491"/>
  <c r="AI169" i="491"/>
  <c r="AI167" i="491"/>
  <c r="AI165" i="491"/>
  <c r="AI164" i="491"/>
  <c r="AI163" i="491"/>
  <c r="AI162" i="491"/>
  <c r="AI161" i="491"/>
  <c r="AI160" i="491"/>
  <c r="AI159" i="491"/>
  <c r="AI157" i="491"/>
  <c r="AI156" i="491"/>
  <c r="AI155" i="491"/>
  <c r="AI154" i="491"/>
  <c r="AI153" i="491"/>
  <c r="AI152" i="491"/>
  <c r="AI151" i="491"/>
  <c r="AI150" i="491"/>
  <c r="AI149" i="491"/>
  <c r="AI148" i="491"/>
  <c r="AI146" i="491"/>
  <c r="AI145" i="491"/>
  <c r="AI144" i="491"/>
  <c r="AI143" i="491"/>
  <c r="AI142" i="491"/>
  <c r="AI141" i="491"/>
  <c r="AG141" i="491"/>
  <c r="AK140" i="491"/>
  <c r="AJ140" i="491"/>
  <c r="AI140" i="491"/>
  <c r="AG140" i="491"/>
  <c r="AI137" i="491"/>
  <c r="AI136" i="491"/>
  <c r="AI135" i="491"/>
  <c r="AI134" i="491"/>
  <c r="AI133" i="491"/>
  <c r="AI132" i="491"/>
  <c r="AI131" i="491"/>
  <c r="AI130" i="491"/>
  <c r="AI129" i="491"/>
  <c r="AI127" i="491"/>
  <c r="AI126" i="491"/>
  <c r="AI125" i="491"/>
  <c r="AI124" i="491"/>
  <c r="AI123" i="491"/>
  <c r="AI120" i="491"/>
  <c r="AI119" i="491"/>
  <c r="AI118" i="491"/>
  <c r="AG117" i="491"/>
  <c r="AJ116" i="491"/>
  <c r="AI116" i="491"/>
  <c r="AG116" i="491"/>
  <c r="AI113" i="491"/>
  <c r="AI112" i="491"/>
  <c r="AI111" i="491"/>
  <c r="AI110" i="491"/>
  <c r="AI109" i="491"/>
  <c r="AI108" i="491"/>
  <c r="AI107" i="491"/>
  <c r="AI106" i="491"/>
  <c r="AI105" i="491"/>
  <c r="AI104" i="491"/>
  <c r="AI103" i="491"/>
  <c r="AI102" i="491"/>
  <c r="AI100" i="491"/>
  <c r="AI98" i="491"/>
  <c r="AI96" i="491"/>
  <c r="AI94" i="491"/>
  <c r="AI93" i="491"/>
  <c r="AI90" i="491"/>
  <c r="AI89" i="491"/>
  <c r="AI88" i="491"/>
  <c r="AG88" i="491"/>
  <c r="AK87" i="491"/>
  <c r="AJ87" i="491"/>
  <c r="AI87" i="491"/>
  <c r="AG87" i="491"/>
  <c r="AI86" i="491"/>
  <c r="AI85" i="491"/>
  <c r="AI83" i="491"/>
  <c r="AI81" i="491"/>
  <c r="AJ80" i="491"/>
  <c r="AI80" i="491"/>
  <c r="AG80" i="491"/>
  <c r="AI78" i="491"/>
  <c r="AI77" i="491"/>
  <c r="AI76" i="491"/>
  <c r="AI74" i="491"/>
  <c r="AI73" i="491"/>
  <c r="AI71" i="491"/>
  <c r="AI69" i="491"/>
  <c r="AI68" i="491"/>
  <c r="AI67" i="491"/>
  <c r="AG67" i="491"/>
  <c r="AJ66" i="491"/>
  <c r="AI66" i="491"/>
  <c r="AG66" i="491"/>
  <c r="AI62" i="491"/>
  <c r="AI61" i="491"/>
  <c r="AI60" i="491"/>
  <c r="AI59" i="491"/>
  <c r="AI58" i="491"/>
  <c r="AI57" i="491"/>
  <c r="AI56" i="491"/>
  <c r="AI55" i="491"/>
  <c r="AI53" i="491"/>
  <c r="AI51" i="491"/>
  <c r="AI50" i="491"/>
  <c r="AG50" i="491"/>
  <c r="AI49" i="491"/>
  <c r="AJ48" i="491"/>
  <c r="AI48" i="491"/>
  <c r="AG48" i="491"/>
  <c r="AI45" i="491"/>
  <c r="AI44" i="491"/>
  <c r="AI43" i="491"/>
  <c r="AI41" i="491"/>
  <c r="AI39" i="491"/>
  <c r="AI38" i="491"/>
  <c r="AI37" i="491"/>
  <c r="AK36" i="491"/>
  <c r="AJ36" i="491"/>
  <c r="AI36" i="491"/>
  <c r="AG36" i="491"/>
  <c r="AI33" i="491"/>
  <c r="AI32" i="491"/>
  <c r="AI30" i="491"/>
  <c r="AI28" i="491"/>
  <c r="AI27" i="491"/>
  <c r="AI25" i="491"/>
  <c r="AI23" i="491"/>
  <c r="AI21" i="491"/>
  <c r="AI19" i="491"/>
  <c r="AI17" i="491"/>
  <c r="AI16" i="491"/>
  <c r="AI15" i="491"/>
  <c r="AI14" i="491"/>
  <c r="AI13" i="491"/>
  <c r="AG11" i="491"/>
  <c r="AK10" i="491"/>
  <c r="AJ10" i="491"/>
  <c r="AI10" i="491"/>
  <c r="AG10" i="491"/>
  <c r="AG8" i="491"/>
  <c r="AG5" i="491"/>
</calcChain>
</file>

<file path=xl/sharedStrings.xml><?xml version="1.0" encoding="utf-8"?>
<sst xmlns="http://schemas.openxmlformats.org/spreadsheetml/2006/main" count="13414" uniqueCount="809">
  <si>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</si>
  <si>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</si>
  <si>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</si>
  <si>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</si>
  <si>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</si>
  <si>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</si>
  <si>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</si>
  <si>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</si>
  <si>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</si>
  <si>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</si>
  <si>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</si>
  <si>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</si>
  <si>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</si>
  <si>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</si>
  <si>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</si>
  <si>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</si>
  <si>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</si>
  <si>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</si>
  <si>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</si>
  <si>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</si>
  <si>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</si>
  <si>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</si>
  <si>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</si>
  <si>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</si>
  <si>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</si>
  <si>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</si>
  <si>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</si>
  <si>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</si>
  <si>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</si>
  <si>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</si>
  <si>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</si>
  <si>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</si>
  <si>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</si>
  <si>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</si>
  <si>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</si>
  <si>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</si>
  <si>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</si>
  <si>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</si>
  <si>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</si>
  <si>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</si>
  <si>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</si>
  <si>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</si>
  <si>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</si>
  <si>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</si>
  <si>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</si>
  <si>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</si>
  <si>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</si>
  <si>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</si>
  <si>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</si>
  <si>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</si>
  <si>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</si>
  <si>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</si>
  <si>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</si>
  <si>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</si>
  <si>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</si>
  <si>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</si>
  <si>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</si>
  <si>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</si>
  <si>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</si>
  <si>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</si>
  <si>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</si>
  <si>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</si>
  <si>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</si>
  <si>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</si>
  <si>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</si>
  <si>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</si>
  <si>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</si>
  <si>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</si>
  <si>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</si>
  <si>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</si>
  <si>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</si>
  <si>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</si>
  <si>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</si>
  <si>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</si>
  <si>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</si>
  <si>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</si>
  <si>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</si>
  <si>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</si>
  <si>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</si>
  <si>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</si>
  <si>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</si>
  <si>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</si>
  <si>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</si>
  <si>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</si>
  <si>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</si>
  <si>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</si>
  <si>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</si>
  <si>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</si>
  <si>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</si>
  <si>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</si>
  <si>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</si>
  <si>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</si>
  <si>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</si>
  <si>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</si>
  <si>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</si>
  <si>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</si>
  <si>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</si>
  <si>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</si>
  <si>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</si>
  <si>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</si>
  <si>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</si>
  <si>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</si>
  <si>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</si>
  <si>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</si>
  <si>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</si>
  <si>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</si>
  <si>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</si>
  <si>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</si>
  <si>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</si>
  <si>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</si>
  <si>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</si>
  <si>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</si>
  <si>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</si>
  <si>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</si>
  <si>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</si>
  <si>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</si>
  <si>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</si>
  <si>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</si>
  <si>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</si>
  <si>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</si>
  <si>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</si>
  <si>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</si>
  <si>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</si>
  <si>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</si>
  <si>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</si>
  <si>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</si>
  <si>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</si>
  <si>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</si>
  <si>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</si>
  <si>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</si>
  <si>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</si>
  <si>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</si>
  <si>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</si>
  <si>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</si>
  <si>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</si>
  <si>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</si>
  <si>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</si>
  <si>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</si>
  <si>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</si>
  <si>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</si>
  <si>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</si>
  <si>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</si>
  <si>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</si>
  <si>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</si>
  <si>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</si>
  <si>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</si>
  <si>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</si>
  <si>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</si>
  <si>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</si>
  <si>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</si>
  <si>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</si>
  <si>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</si>
  <si>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</si>
  <si>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</si>
  <si>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</si>
  <si>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</si>
  <si>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</si>
  <si>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</si>
  <si>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</si>
  <si>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</si>
  <si>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</si>
  <si>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</si>
  <si>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</si>
  <si>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</si>
  <si>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</si>
  <si>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</si>
  <si>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</si>
  <si>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</si>
  <si>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</si>
  <si>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</si>
  <si>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</si>
  <si>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</si>
  <si>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</si>
  <si>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</si>
  <si>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</si>
  <si>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</si>
  <si>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</si>
  <si>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</si>
  <si>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</si>
  <si>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</si>
  <si>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</si>
  <si>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</si>
  <si>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</si>
  <si>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</si>
  <si>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</si>
  <si>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</si>
  <si>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</si>
  <si>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</si>
  <si>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</si>
  <si>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</si>
  <si>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</si>
  <si>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</si>
  <si>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</si>
  <si>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</si>
  <si>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</si>
  <si>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</si>
  <si>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</si>
  <si>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</si>
  <si>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</si>
  <si>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</si>
  <si>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</si>
  <si>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</si>
  <si>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</si>
  <si>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</si>
  <si>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</si>
  <si>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</si>
  <si>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</si>
  <si>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</si>
  <si>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</si>
  <si>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</si>
  <si>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</si>
  <si>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</si>
  <si>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</si>
  <si>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</si>
  <si>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</si>
  <si>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</si>
  <si>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</si>
  <si>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</si>
  <si>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</si>
  <si>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</si>
  <si>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</si>
  <si>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</si>
  <si>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</si>
  <si>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</si>
  <si>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</si>
  <si>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</si>
  <si>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</si>
  <si>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</si>
  <si>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</si>
  <si>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</si>
  <si>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</si>
  <si>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</si>
  <si>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</si>
  <si>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</si>
  <si>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</si>
  <si>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</si>
  <si>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</si>
  <si>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</si>
  <si>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</si>
  <si>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</si>
  <si>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</si>
  <si>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</si>
  <si>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</si>
  <si>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</si>
  <si>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</si>
  <si>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</si>
  <si>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</si>
  <si>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</si>
  <si>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</si>
  <si>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</si>
  <si>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</si>
  <si>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</si>
  <si>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</si>
  <si>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</si>
  <si>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</si>
  <si>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</si>
  <si>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</si>
  <si>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</si>
  <si>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</si>
  <si>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</si>
  <si>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</si>
  <si>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</si>
  <si>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</si>
  <si>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</si>
  <si>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</si>
  <si>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</si>
  <si>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</si>
  <si>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</si>
  <si>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</si>
  <si>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</si>
  <si>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</si>
  <si>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</si>
  <si>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</si>
  <si>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</si>
  <si>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</si>
  <si>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</si>
  <si>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</si>
  <si>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</si>
  <si>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</si>
  <si>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</si>
  <si>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</si>
  <si>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</si>
  <si>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</si>
  <si>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</si>
  <si>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</si>
  <si>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</si>
  <si>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</si>
  <si>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</si>
  <si>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</si>
  <si>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</si>
  <si>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</si>
  <si>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</si>
  <si>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</si>
  <si>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</si>
  <si>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</si>
  <si>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</si>
  <si>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</si>
  <si>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</si>
  <si>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</si>
  <si>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</si>
  <si>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</si>
  <si>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</si>
  <si>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</si>
  <si>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</si>
  <si>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</si>
  <si>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</si>
  <si>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</si>
  <si>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</si>
  <si>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</si>
  <si>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</si>
  <si>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</si>
  <si>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</si>
  <si>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</si>
  <si>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</si>
  <si>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</si>
  <si>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</si>
  <si>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</si>
  <si>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</si>
  <si>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</si>
  <si>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</si>
  <si>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</si>
  <si>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</si>
  <si>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</si>
  <si>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</si>
  <si>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</si>
  <si>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</si>
  <si>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</si>
  <si>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</si>
  <si>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</si>
  <si>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</si>
  <si>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</si>
  <si>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</si>
  <si>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</si>
  <si>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</si>
  <si>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</si>
  <si>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</si>
  <si>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</si>
  <si>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</si>
  <si>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</si>
  <si>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</si>
  <si>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</si>
  <si>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</si>
  <si>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</si>
  <si>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</si>
  <si>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</si>
  <si>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</si>
  <si>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</si>
  <si>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</si>
  <si>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</si>
  <si>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</si>
  <si>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</si>
  <si>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</si>
  <si>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</si>
  <si>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</si>
  <si>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</si>
  <si>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</si>
  <si>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</si>
  <si>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</si>
  <si>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</si>
  <si>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</si>
  <si>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</si>
  <si>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</si>
  <si>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</si>
  <si>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</si>
  <si>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</si>
  <si>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</si>
  <si>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</si>
  <si>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</si>
  <si>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</si>
  <si>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</si>
  <si>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</si>
  <si>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</si>
  <si>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</si>
  <si>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</si>
  <si>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</si>
  <si>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</si>
  <si>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</si>
  <si>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</si>
  <si>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</si>
  <si>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</si>
  <si>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</si>
  <si>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</si>
  <si>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</si>
  <si>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</si>
  <si>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</si>
  <si>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</si>
  <si>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</si>
  <si>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</si>
  <si>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</si>
  <si>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</si>
  <si>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</si>
  <si>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</si>
  <si>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</si>
  <si>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</si>
  <si>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</si>
  <si>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</si>
  <si>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</si>
  <si>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</si>
  <si>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</si>
  <si>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</si>
  <si>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</si>
  <si>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</si>
  <si>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</si>
  <si>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</si>
  <si>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</si>
  <si>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</si>
  <si>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</si>
  <si>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</si>
  <si>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</si>
  <si>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</si>
  <si>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</si>
  <si>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</si>
  <si>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</si>
  <si>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</si>
  <si>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</si>
  <si>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</si>
  <si>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</si>
  <si>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</si>
  <si>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</si>
  <si>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</si>
  <si>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</si>
  <si>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</si>
  <si>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</si>
  <si>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</si>
  <si>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</si>
  <si>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</si>
  <si>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</si>
  <si>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</si>
  <si>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</si>
  <si>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</si>
  <si>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</si>
  <si>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</si>
  <si>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</si>
  <si>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</si>
  <si>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</si>
  <si>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</si>
  <si>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</si>
  <si>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</si>
  <si>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</si>
  <si>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</si>
  <si>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</si>
  <si>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</si>
  <si>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</si>
  <si>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</si>
  <si>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</si>
  <si>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</si>
  <si>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</si>
  <si>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</si>
  <si>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</si>
  <si>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</si>
  <si>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</si>
  <si>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</si>
  <si>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</si>
  <si>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</si>
  <si>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</si>
  <si>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</si>
  <si>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</si>
  <si>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</si>
  <si>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</si>
  <si>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</si>
  <si>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</si>
  <si>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</si>
  <si>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</si>
  <si>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</si>
  <si>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</si>
  <si>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</si>
  <si>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</si>
  <si>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</si>
  <si>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</si>
  <si>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Ｄ　大規模の事業所(病院・診療所)</t>
    <phoneticPr fontId="1"/>
  </si>
  <si>
    <t>Ｅ　大規模の事業所(介護老人保健施設)</t>
    <phoneticPr fontId="1"/>
  </si>
  <si>
    <t>Ｆ　大規模の事業所(介護医療院)</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</si>
  <si>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</si>
  <si>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</si>
  <si>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</si>
  <si>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</si>
  <si>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</si>
  <si>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</si>
  <si>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</si>
  <si>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</si>
  <si>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</si>
  <si>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</si>
  <si>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</si>
  <si>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</si>
  <si>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</si>
  <si>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</si>
  <si>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</si>
  <si>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</si>
  <si>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</si>
  <si>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</si>
  <si>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</si>
  <si>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</si>
  <si>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</si>
  <si>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</si>
  <si>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</si>
  <si>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</si>
  <si>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</si>
  <si>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</si>
  <si>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</si>
  <si>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</si>
  <si>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</si>
  <si>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</si>
  <si>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</si>
  <si>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</si>
  <si>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</si>
  <si>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</si>
  <si>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</si>
  <si>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</si>
  <si>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</si>
  <si>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</si>
  <si>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</si>
  <si>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</si>
  <si>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</si>
  <si>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</si>
  <si>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</si>
  <si>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</si>
  <si>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</si>
  <si>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</si>
  <si>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</si>
  <si>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</si>
  <si>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</si>
  <si>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</si>
  <si>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</si>
  <si>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</si>
  <si>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</si>
  <si>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</si>
  <si>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</si>
  <si>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</si>
  <si>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</si>
  <si>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</si>
  <si>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</si>
  <si>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</si>
  <si>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</si>
  <si>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</si>
  <si>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</si>
  <si>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</si>
  <si>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</si>
  <si>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</si>
  <si>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</si>
  <si>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</si>
  <si>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</si>
  <si>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</si>
  <si>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</si>
  <si>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</si>
  <si>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</si>
  <si>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</si>
  <si>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</si>
  <si>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</si>
  <si>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</si>
  <si>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</si>
  <si>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</si>
  <si>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</si>
  <si>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</si>
  <si>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</si>
  <si>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</si>
  <si>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</si>
  <si>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</si>
  <si>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</si>
  <si>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</si>
  <si>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</si>
  <si>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</si>
  <si>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</si>
  <si>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</si>
  <si>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</si>
  <si>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</si>
  <si>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</si>
  <si>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</si>
  <si>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</si>
  <si>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</si>
  <si>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</si>
  <si>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</si>
  <si>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</si>
  <si>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</si>
  <si>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</si>
  <si>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</si>
  <si>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</si>
  <si>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</si>
  <si>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</si>
  <si>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</si>
  <si>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</si>
  <si>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</si>
  <si>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</si>
  <si>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</si>
  <si>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</si>
  <si>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</si>
  <si>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</si>
  <si>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</si>
  <si>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</si>
  <si>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</si>
  <si>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</si>
  <si>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</si>
  <si>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</si>
  <si>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</si>
  <si>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</si>
  <si>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</si>
  <si>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</si>
  <si>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</si>
  <si>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</si>
  <si>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</si>
  <si>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</si>
  <si>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</si>
  <si>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</si>
  <si>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</si>
  <si>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</si>
  <si>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</si>
  <si>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</si>
  <si>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</si>
  <si>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</si>
  <si>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</si>
  <si>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</si>
  <si>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</si>
  <si>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</si>
  <si>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</si>
  <si>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</si>
  <si>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</si>
  <si>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</si>
  <si>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</si>
  <si>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</si>
  <si>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</si>
  <si>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</si>
  <si>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</si>
  <si>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</si>
  <si>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</si>
  <si>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</si>
  <si>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</si>
  <si>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</si>
  <si>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</si>
  <si>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</si>
  <si>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</si>
  <si>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</si>
  <si>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</si>
  <si>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</si>
  <si>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</si>
  <si>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</si>
  <si>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</si>
  <si>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２ あり</t>
  </si>
  <si>
    <t>通所型サービス（独自）</t>
  </si>
  <si>
    <t>栄養アセスメント・栄養改善体制</t>
    <rPh sb="0" eb="2">
      <t>エイヨウ</t>
    </rPh>
    <rPh sb="11" eb="13">
      <t>カイゼン</t>
    </rPh>
    <rPh sb="13" eb="15">
      <t>タイセイ</t>
    </rPh>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</si>
  <si>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</si>
  <si>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</si>
  <si>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</si>
  <si>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</si>
  <si>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</si>
  <si>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</si>
  <si>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</si>
  <si>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</si>
  <si>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</si>
  <si>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</si>
  <si>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</si>
  <si>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</si>
  <si>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</si>
  <si>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</si>
  <si>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</si>
  <si>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</si>
  <si>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</si>
  <si>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</si>
  <si>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</si>
  <si>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</si>
  <si>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</si>
  <si>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</si>
  <si>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</si>
  <si>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</si>
  <si>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</si>
  <si>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</si>
  <si>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</si>
  <si>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</si>
  <si>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</si>
  <si>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</si>
  <si>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</si>
  <si>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</si>
  <si>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</si>
  <si>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</si>
  <si>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</si>
  <si>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</si>
  <si>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</si>
  <si>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</si>
  <si>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</si>
  <si>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</si>
  <si>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</si>
  <si>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</si>
  <si>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</si>
  <si>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</si>
  <si>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</si>
  <si>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</si>
  <si>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</si>
  <si>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</si>
  <si>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</si>
  <si>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</si>
  <si>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</si>
  <si>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</si>
  <si>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</si>
  <si>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</si>
  <si>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</si>
  <si>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</si>
  <si>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</si>
  <si>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</si>
  <si>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</si>
  <si>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</si>
  <si>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</si>
  <si>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</si>
  <si>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</si>
  <si>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</si>
  <si>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</si>
  <si>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</si>
  <si>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</si>
  <si>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</si>
  <si>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</si>
  <si>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</si>
  <si>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</si>
  <si>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</si>
  <si>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</si>
  <si>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</si>
  <si>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</si>
  <si>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</si>
  <si>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</si>
  <si>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</si>
  <si>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</si>
  <si>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</si>
  <si>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</si>
  <si>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</si>
  <si>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</si>
  <si>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</si>
  <si>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</si>
  <si>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</si>
  <si>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</si>
  <si>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</si>
  <si>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</si>
  <si>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</si>
  <si>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</si>
  <si>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</si>
  <si>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</si>
  <si>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</si>
  <si>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</si>
  <si>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</si>
  <si>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</si>
  <si>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</si>
  <si>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</si>
  <si>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</si>
  <si>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</si>
  <si>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</si>
  <si>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</si>
  <si>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</si>
  <si>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</si>
  <si>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</si>
  <si>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</si>
  <si>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</si>
  <si>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</si>
  <si>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</si>
  <si>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</si>
  <si>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</si>
  <si>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</si>
  <si>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</si>
  <si>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</si>
  <si>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</si>
  <si>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</si>
  <si>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</si>
  <si>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</si>
  <si>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</si>
  <si>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</si>
  <si>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</si>
  <si>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</si>
  <si>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</si>
  <si>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</si>
  <si>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</si>
  <si>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</si>
  <si>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</si>
  <si>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</si>
  <si>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</si>
  <si>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</si>
  <si>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</si>
  <si>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</si>
  <si>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</si>
  <si>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</si>
  <si>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</si>
  <si>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</si>
  <si>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</si>
  <si>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</si>
  <si>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</si>
  <si>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1"/>
  </si>
  <si>
    <t>##SATELLITE</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</si>
  <si>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</si>
  <si>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t>
  </si>
  <si>
    <t>（別紙１－１）</t>
    <rPh sb="1" eb="3">
      <t>ベッシ</t>
    </rPh>
    <phoneticPr fontId="1"/>
  </si>
  <si>
    <t>（別紙１－２）</t>
    <phoneticPr fontId="1"/>
  </si>
  <si>
    <t>（別紙１－３）</t>
    <phoneticPr fontId="1"/>
  </si>
  <si>
    <t>（別紙１－４）</t>
    <phoneticPr fontId="1"/>
  </si>
  <si>
    <t>１　介護老人保健施設（Ⅰ）</t>
    <phoneticPr fontId="1"/>
  </si>
  <si>
    <t>（事業所名）</t>
    <rPh sb="1" eb="4">
      <t>ジギョウショ</t>
    </rPh>
    <rPh sb="4" eb="5">
      <t>メイ</t>
    </rPh>
    <phoneticPr fontId="1"/>
  </si>
  <si>
    <t>（サービス種別）</t>
    <rPh sb="5" eb="7">
      <t>シュベツ</t>
    </rPh>
    <phoneticPr fontId="1"/>
  </si>
  <si>
    <t>(　　　　単位/　　　　単位　　）
※通所系サービスのみ記載</t>
    <rPh sb="5" eb="7">
      <t>タンイ</t>
    </rPh>
    <rPh sb="12" eb="14">
      <t>タンイ</t>
    </rPh>
    <rPh sb="19" eb="22">
      <t>ツウショケイ</t>
    </rPh>
    <rPh sb="28" eb="30">
      <t>キサイ</t>
    </rPh>
    <phoneticPr fontId="1"/>
  </si>
  <si>
    <t>介護職員等処遇改善加算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</si>
  <si>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</si>
  <si>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</si>
  <si>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</si>
  <si>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</si>
  <si>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</si>
  <si>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</si>
  <si>
    <t>併設本体施設における介護職員等処遇改善加算Ⅰイ又はロの届出状況</t>
    <rPh sb="23" eb="24">
      <t>マタ</t>
    </rPh>
    <phoneticPr fontId="1"/>
  </si>
  <si>
    <t>Ｓ 加算Ⅰロ</t>
    <rPh sb="2" eb="4">
      <t>カサン</t>
    </rPh>
    <phoneticPr fontId="1"/>
  </si>
  <si>
    <t>８ 加算Ⅱイ</t>
    <rPh sb="2" eb="4">
      <t>カサン</t>
    </rPh>
    <phoneticPr fontId="1"/>
  </si>
  <si>
    <t>Ｔ 加算Ⅱロ</t>
    <rPh sb="2" eb="4">
      <t>カサン</t>
    </rPh>
    <phoneticPr fontId="1"/>
  </si>
  <si>
    <t>併設本体施設における介護職員等処遇改善加算Ⅰイ又はロの届出状況</t>
  </si>
  <si>
    <t>Ｓ 加算Ⅰロ</t>
    <rPh sb="2" eb="4">
      <t>カサン</t>
    </rPh>
    <phoneticPr fontId="1"/>
  </si>
  <si>
    <t>８ 加算Ⅱイ</t>
    <rPh sb="2" eb="4">
      <t>カサン</t>
    </rPh>
    <phoneticPr fontId="1"/>
  </si>
  <si>
    <t>Ｔ 加算Ⅱロ</t>
    <rPh sb="2" eb="4">
      <t>カサン</t>
    </rPh>
    <phoneticPr fontId="1"/>
  </si>
  <si>
    <t>併設本体施設における介護職員等処遇改善加算Ⅰイ又はロの届出状況</t>
    <rPh sb="23" eb="24">
      <t>マタ</t>
    </rPh>
    <phoneticPr fontId="1"/>
  </si>
  <si>
    <t>２あり</t>
    <phoneticPr fontId="1"/>
  </si>
  <si>
    <r>
      <t>介護職員等処遇改善加算
（</t>
    </r>
    <r>
      <rPr>
        <sz val="11"/>
        <color rgb="FFFF0000"/>
        <rFont val="HGSｺﾞｼｯｸM"/>
        <family val="3"/>
        <charset val="128"/>
      </rPr>
      <t>利用定員19人以上</t>
    </r>
    <r>
      <rPr>
        <sz val="11"/>
        <rFont val="HGSｺﾞｼｯｸM"/>
        <family val="3"/>
        <charset val="128"/>
      </rPr>
      <t>）</t>
    </r>
    <rPh sb="13" eb="17">
      <t>リヨウテイインニ</t>
    </rPh>
    <rPh sb="19" eb="20">
      <t>ニンイ</t>
    </rPh>
    <rPh sb="20" eb="22">
      <t>イジョウ</t>
    </rPh>
    <phoneticPr fontId="2"/>
  </si>
  <si>
    <r>
      <t>介護職員等処遇改善加算
（</t>
    </r>
    <r>
      <rPr>
        <sz val="11"/>
        <color rgb="FFFF0000"/>
        <rFont val="HGSｺﾞｼｯｸM"/>
        <family val="3"/>
        <charset val="128"/>
      </rPr>
      <t>利用定員19人未満</t>
    </r>
    <r>
      <rPr>
        <sz val="11"/>
        <rFont val="HGSｺﾞｼｯｸM"/>
        <family val="3"/>
        <charset val="128"/>
      </rPr>
      <t>）</t>
    </r>
    <rPh sb="13" eb="15">
      <t>リヨウテ</t>
    </rPh>
    <rPh sb="15" eb="17">
      <t>テイインニ</t>
    </rPh>
    <rPh sb="19" eb="20">
      <t>ニンミ</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</si>
</sst>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HGSｺﾞｼｯｸM"/>
      <family val="3"/>
      <charset val="128"/>
    </font>
    <font>
      <sz val="11"/>
      <color theme="1"/>
      <name val="HGSｺﾞｼｯｸM"/>
      <family val="3"/>
      <charset val="128"/>
    </font>
    <font>
      <sz val="11"/>
      <color theme="1"/>
      <name val="ＭＳ ゴシック"/>
      <family val="3"/>
      <charset val="128"/>
    </font>
    <font>
      <sz val="11"/>
      <color theme="1"/>
      <name val="ＭＳ Ｐゴシック"/>
      <family val="3"/>
      <charset val="128"/>
    </font>
    <font>
      <sz val="11"/>
      <color rgb="FFFF0000"/>
      <name val="HGSｺﾞｼｯｸM"/>
      <family val="3"/>
      <charset val="128"/>
    </font>
    <font>
      <sz val="11"/>
      <color rgb="FFFF0000"/>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4"/>
      <color theme="1"/>
      <name val="HGSｺﾞｼｯｸM"/>
      <family val="3"/>
      <charset val="128"/>
    </font>
    <font>
      <strike/>
      <sz val="11"/>
      <color theme="1"/>
      <name val="ＭＳ Ｐゴシック"/>
      <family val="3"/>
      <charset val="128"/>
    </font>
    <font>
      <sz val="11"/>
      <color theme="1"/>
      <name val="HGPｺﾞｼｯｸM"/>
      <family val="3"/>
      <charset val="128"/>
    </font>
    <font>
      <sz val="11"/>
      <color theme="1"/>
      <name val="ＭＳ Ｐゴシック"/>
      <family val="3"/>
      <charset val="128"/>
      <scheme val="major"/>
    </font>
    <font>
      <sz val="11"/>
      <name val="HG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9" tint="0.79998168889431442"/>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right style="dotted">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dashed">
        <color indexed="64"/>
      </top>
      <bottom/>
      <diagonal style="thin">
        <color indexed="64"/>
      </diagonal>
    </border>
    <border>
      <left/>
      <right/>
      <top style="hair">
        <color indexed="64"/>
      </top>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hair">
        <color indexed="64"/>
      </top>
      <bottom style="thin">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7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76" applyNumberFormat="0" applyFont="0" applyAlignment="0" applyProtection="0">
      <alignment vertical="center"/>
    </xf>
    <xf numFmtId="0" fontId="16" fillId="0" borderId="77" applyNumberFormat="0" applyFill="0" applyAlignment="0" applyProtection="0">
      <alignment vertical="center"/>
    </xf>
    <xf numFmtId="0" fontId="17" fillId="30" borderId="0" applyNumberFormat="0" applyBorder="0" applyAlignment="0" applyProtection="0">
      <alignment vertical="center"/>
    </xf>
    <xf numFmtId="0" fontId="18" fillId="31" borderId="7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9" applyNumberFormat="0" applyFill="0" applyAlignment="0" applyProtection="0">
      <alignment vertical="center"/>
    </xf>
    <xf numFmtId="0" fontId="21" fillId="0" borderId="80" applyNumberFormat="0" applyFill="0" applyAlignment="0" applyProtection="0">
      <alignment vertical="center"/>
    </xf>
    <xf numFmtId="0" fontId="22" fillId="0" borderId="81" applyNumberFormat="0" applyFill="0" applyAlignment="0" applyProtection="0">
      <alignment vertical="center"/>
    </xf>
    <xf numFmtId="0" fontId="22" fillId="0" borderId="0" applyNumberFormat="0" applyFill="0" applyBorder="0" applyAlignment="0" applyProtection="0">
      <alignment vertical="center"/>
    </xf>
    <xf numFmtId="0" fontId="23" fillId="0" borderId="82" applyNumberFormat="0" applyFill="0" applyAlignment="0" applyProtection="0">
      <alignment vertical="center"/>
    </xf>
    <xf numFmtId="0" fontId="24" fillId="31" borderId="83" applyNumberFormat="0" applyAlignment="0" applyProtection="0">
      <alignment vertical="center"/>
    </xf>
    <xf numFmtId="0" fontId="25" fillId="0" borderId="0" applyNumberFormat="0" applyFill="0" applyBorder="0" applyAlignment="0" applyProtection="0">
      <alignment vertical="center"/>
    </xf>
    <xf numFmtId="0" fontId="26" fillId="2" borderId="78"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02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48"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46" xfId="0" applyFont="1" applyBorder="1" applyAlignment="1">
      <alignment vertical="center" wrapText="1"/>
    </xf>
    <xf numFmtId="0" fontId="3" fillId="0" borderId="46" xfId="0" applyFont="1" applyBorder="1" applyAlignment="1">
      <alignment horizontal="center" vertical="center"/>
    </xf>
    <xf numFmtId="0" fontId="3" fillId="0" borderId="0" xfId="0" applyFont="1" applyAlignment="1">
      <alignment vertical="top"/>
    </xf>
    <xf numFmtId="0" fontId="9"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center"/>
    </xf>
    <xf numFmtId="0" fontId="7" fillId="0" borderId="0" xfId="0" applyFont="1" applyAlignment="1">
      <alignment horizontal="left" vertical="center"/>
    </xf>
    <xf numFmtId="0" fontId="9" fillId="0" borderId="0" xfId="0" applyFont="1" applyAlignment="1">
      <alignment horizontal="center" vertical="center"/>
    </xf>
    <xf numFmtId="0" fontId="3" fillId="0" borderId="46" xfId="0" applyFont="1" applyBorder="1" applyAlignment="1">
      <alignment vertical="center"/>
    </xf>
    <xf numFmtId="0" fontId="3" fillId="0" borderId="17" xfId="0" applyFont="1" applyBorder="1" applyAlignment="1">
      <alignment horizontal="left" vertical="center" wrapText="1"/>
    </xf>
    <xf numFmtId="0" fontId="3" fillId="0" borderId="46" xfId="0" applyFont="1" applyBorder="1" applyAlignment="1">
      <alignment vertical="top"/>
    </xf>
    <xf numFmtId="0" fontId="3" fillId="0" borderId="17" xfId="0" applyFont="1" applyBorder="1" applyAlignment="1">
      <alignment vertical="center" wrapText="1"/>
    </xf>
    <xf numFmtId="0" fontId="3" fillId="0" borderId="0" xfId="0" applyFont="1" applyAlignment="1">
      <alignment vertical="top" wrapText="1"/>
    </xf>
    <xf numFmtId="0" fontId="0" fillId="0" borderId="17" xfId="0" applyBorder="1"/>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50"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25" xfId="0" applyFont="1" applyBorder="1" applyAlignment="1">
      <alignment horizontal="left" vertical="center"/>
    </xf>
    <xf numFmtId="0" fontId="31" fillId="0" borderId="0" xfId="0" applyFont="1" applyAlignment="1" applyProtection="1">
      <alignment horizontal="center" vertical="center"/>
      <protection locked="0"/>
    </xf>
    <xf numFmtId="0" fontId="29" fillId="0" borderId="4" xfId="0" applyFont="1" applyBorder="1" applyAlignment="1">
      <alignment vertical="center"/>
    </xf>
    <xf numFmtId="0" fontId="29" fillId="0" borderId="4" xfId="0" applyFont="1" applyBorder="1" applyAlignment="1">
      <alignment vertical="center" wrapText="1"/>
    </xf>
    <xf numFmtId="0" fontId="29" fillId="0" borderId="1" xfId="0" applyFont="1" applyBorder="1" applyAlignment="1">
      <alignment vertical="center" wrapText="1"/>
    </xf>
    <xf numFmtId="0" fontId="29" fillId="0" borderId="17" xfId="0" applyFont="1" applyBorder="1" applyAlignment="1">
      <alignment horizontal="center" vertical="center"/>
    </xf>
    <xf numFmtId="0" fontId="29" fillId="0" borderId="46" xfId="0" applyFont="1" applyBorder="1" applyAlignment="1">
      <alignment horizontal="center" vertical="center"/>
    </xf>
    <xf numFmtId="0" fontId="29" fillId="0" borderId="48" xfId="0" applyFont="1" applyBorder="1" applyAlignment="1">
      <alignment horizontal="left" vertical="center"/>
    </xf>
    <xf numFmtId="0" fontId="31" fillId="0" borderId="17" xfId="0" applyFont="1" applyBorder="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vertical="center" wrapText="1"/>
    </xf>
    <xf numFmtId="0" fontId="29" fillId="0" borderId="46" xfId="0" applyFont="1" applyBorder="1" applyAlignment="1">
      <alignment vertical="center" wrapText="1"/>
    </xf>
    <xf numFmtId="0" fontId="29" fillId="0" borderId="3" xfId="0" applyFont="1" applyBorder="1" applyAlignment="1">
      <alignment vertical="center"/>
    </xf>
    <xf numFmtId="0" fontId="29" fillId="0" borderId="25" xfId="0" applyFont="1" applyBorder="1" applyAlignment="1">
      <alignment vertical="center"/>
    </xf>
    <xf numFmtId="0" fontId="29" fillId="0" borderId="3" xfId="0" applyFont="1" applyBorder="1" applyAlignment="1">
      <alignment horizontal="left" vertical="center"/>
    </xf>
    <xf numFmtId="0" fontId="29" fillId="0" borderId="3" xfId="0" applyFont="1" applyBorder="1" applyAlignment="1">
      <alignment horizontal="left" vertical="center" wrapText="1"/>
    </xf>
    <xf numFmtId="0" fontId="29" fillId="0" borderId="1" xfId="0" applyFont="1" applyBorder="1" applyAlignment="1">
      <alignment vertical="center"/>
    </xf>
    <xf numFmtId="0" fontId="31" fillId="0" borderId="4" xfId="0" applyFont="1" applyBorder="1" applyAlignment="1" applyProtection="1">
      <alignment horizontal="center" vertical="center"/>
      <protection locked="0"/>
    </xf>
    <xf numFmtId="0" fontId="31" fillId="0" borderId="4" xfId="0" applyFont="1" applyBorder="1" applyAlignment="1">
      <alignment vertical="center"/>
    </xf>
    <xf numFmtId="0" fontId="31" fillId="0" borderId="1" xfId="0" applyFont="1" applyBorder="1" applyAlignment="1">
      <alignment vertical="center"/>
    </xf>
    <xf numFmtId="0" fontId="29" fillId="0" borderId="1" xfId="0" applyFont="1" applyBorder="1" applyAlignment="1">
      <alignment vertical="top"/>
    </xf>
    <xf numFmtId="0" fontId="31" fillId="0" borderId="3" xfId="0" applyFont="1" applyBorder="1" applyAlignment="1" applyProtection="1">
      <alignment horizontal="center" vertical="center"/>
      <protection locked="0"/>
    </xf>
    <xf numFmtId="0" fontId="29" fillId="0" borderId="17" xfId="0" applyFont="1" applyBorder="1" applyAlignment="1">
      <alignment vertical="center"/>
    </xf>
    <xf numFmtId="0" fontId="29" fillId="0" borderId="48" xfId="0" applyFont="1" applyBorder="1" applyAlignment="1">
      <alignment vertical="center"/>
    </xf>
    <xf numFmtId="0" fontId="29" fillId="0" borderId="17" xfId="0" applyFont="1" applyBorder="1" applyAlignment="1">
      <alignment horizontal="left" vertical="center"/>
    </xf>
    <xf numFmtId="0" fontId="29" fillId="0" borderId="17" xfId="0" applyFont="1" applyBorder="1" applyAlignment="1">
      <alignment horizontal="left" vertical="center" wrapText="1"/>
    </xf>
    <xf numFmtId="0" fontId="29" fillId="0" borderId="46" xfId="0" applyFont="1" applyBorder="1" applyAlignment="1">
      <alignment vertical="center"/>
    </xf>
    <xf numFmtId="0" fontId="29" fillId="0" borderId="48" xfId="0" applyFont="1" applyBorder="1" applyAlignment="1">
      <alignment horizontal="left" vertical="center" wrapText="1"/>
    </xf>
    <xf numFmtId="0" fontId="31" fillId="0" borderId="0" xfId="0" applyFont="1" applyAlignment="1">
      <alignment horizontal="left" vertical="center"/>
    </xf>
    <xf numFmtId="0" fontId="31" fillId="0" borderId="46" xfId="0" applyFont="1" applyBorder="1" applyAlignment="1">
      <alignment horizontal="left" vertical="center"/>
    </xf>
    <xf numFmtId="0" fontId="29" fillId="0" borderId="0" xfId="0" applyFont="1" applyAlignment="1">
      <alignment vertical="top"/>
    </xf>
    <xf numFmtId="0" fontId="29" fillId="0" borderId="46" xfId="0" applyFont="1" applyBorder="1" applyAlignment="1">
      <alignment vertical="top"/>
    </xf>
    <xf numFmtId="0" fontId="29" fillId="0" borderId="44" xfId="0" applyFont="1" applyBorder="1" applyAlignment="1">
      <alignment horizontal="left" vertical="center" wrapText="1"/>
    </xf>
    <xf numFmtId="0" fontId="31" fillId="0" borderId="40" xfId="0" applyFont="1" applyBorder="1" applyAlignment="1" applyProtection="1">
      <alignment horizontal="center" vertical="center"/>
      <protection locked="0"/>
    </xf>
    <xf numFmtId="0" fontId="29" fillId="0" borderId="41" xfId="0" applyFont="1" applyBorder="1" applyAlignment="1">
      <alignment horizontal="left" vertical="center"/>
    </xf>
    <xf numFmtId="0" fontId="31" fillId="0" borderId="41" xfId="0" applyFont="1" applyBorder="1" applyAlignment="1">
      <alignment horizontal="left" vertical="center"/>
    </xf>
    <xf numFmtId="0" fontId="31" fillId="0" borderId="42" xfId="0" applyFont="1" applyBorder="1" applyAlignment="1">
      <alignment horizontal="left" vertical="center"/>
    </xf>
    <xf numFmtId="0" fontId="29" fillId="0" borderId="17" xfId="0" applyFont="1" applyBorder="1" applyAlignment="1">
      <alignment vertical="top"/>
    </xf>
    <xf numFmtId="0" fontId="29" fillId="0" borderId="33" xfId="0" applyFont="1" applyBorder="1" applyAlignment="1">
      <alignment vertical="center"/>
    </xf>
    <xf numFmtId="0" fontId="31" fillId="0" borderId="33" xfId="0" applyFont="1" applyBorder="1" applyAlignment="1" applyProtection="1">
      <alignment horizontal="center" vertical="center"/>
      <protection locked="0"/>
    </xf>
    <xf numFmtId="0" fontId="29" fillId="0" borderId="29" xfId="0" applyFont="1" applyBorder="1" applyAlignment="1">
      <alignment vertical="center"/>
    </xf>
    <xf numFmtId="0" fontId="31" fillId="0" borderId="29" xfId="0" applyFont="1" applyBorder="1" applyAlignment="1">
      <alignment vertical="center"/>
    </xf>
    <xf numFmtId="0" fontId="29" fillId="0" borderId="29" xfId="0" applyFont="1" applyBorder="1" applyAlignment="1">
      <alignment horizontal="left" vertical="center" wrapText="1"/>
    </xf>
    <xf numFmtId="0" fontId="31" fillId="0" borderId="29"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29" xfId="0" applyFont="1" applyBorder="1" applyAlignment="1">
      <alignment horizontal="left" vertical="center"/>
    </xf>
    <xf numFmtId="0" fontId="31" fillId="0" borderId="34" xfId="0" applyFont="1" applyBorder="1" applyAlignment="1">
      <alignment horizontal="left" vertical="center"/>
    </xf>
    <xf numFmtId="0" fontId="29" fillId="0" borderId="28" xfId="0" applyFont="1" applyBorder="1" applyAlignment="1">
      <alignment horizontal="left" vertical="center" wrapText="1"/>
    </xf>
    <xf numFmtId="0" fontId="29" fillId="0" borderId="34" xfId="0" applyFont="1" applyBorder="1" applyAlignment="1">
      <alignment vertical="center"/>
    </xf>
    <xf numFmtId="0" fontId="31" fillId="0" borderId="34" xfId="0" applyFont="1" applyBorder="1" applyAlignment="1">
      <alignment vertical="center"/>
    </xf>
    <xf numFmtId="0" fontId="29" fillId="0" borderId="30" xfId="0" applyFont="1" applyBorder="1" applyAlignment="1">
      <alignment horizontal="left" vertical="center" wrapText="1"/>
    </xf>
    <xf numFmtId="0" fontId="29" fillId="0" borderId="27" xfId="0" applyFont="1" applyBorder="1" applyAlignment="1">
      <alignment vertical="center"/>
    </xf>
    <xf numFmtId="0" fontId="29" fillId="0" borderId="41" xfId="0" applyFont="1" applyBorder="1" applyAlignment="1">
      <alignment vertical="center"/>
    </xf>
    <xf numFmtId="0" fontId="29" fillId="0" borderId="42" xfId="0" applyFont="1" applyBorder="1" applyAlignment="1">
      <alignment vertical="center"/>
    </xf>
    <xf numFmtId="0" fontId="31" fillId="0" borderId="0" xfId="0" applyFont="1" applyAlignment="1">
      <alignment horizontal="center" vertical="center"/>
    </xf>
    <xf numFmtId="0" fontId="29" fillId="0" borderId="27" xfId="0" applyFont="1" applyBorder="1" applyAlignment="1">
      <alignment horizontal="left" vertical="center"/>
    </xf>
    <xf numFmtId="0" fontId="29" fillId="0" borderId="36" xfId="0" applyFont="1" applyBorder="1" applyAlignment="1">
      <alignment vertical="center"/>
    </xf>
    <xf numFmtId="0" fontId="31" fillId="0" borderId="17" xfId="0" applyFont="1" applyBorder="1" applyAlignment="1">
      <alignment horizontal="center" vertical="center"/>
    </xf>
    <xf numFmtId="0" fontId="31" fillId="0" borderId="35" xfId="0" applyFont="1" applyBorder="1" applyAlignment="1" applyProtection="1">
      <alignment horizontal="center" vertical="center"/>
      <protection locked="0"/>
    </xf>
    <xf numFmtId="0" fontId="31" fillId="0" borderId="27" xfId="0" applyFont="1" applyBorder="1" applyAlignment="1">
      <alignment horizontal="center" vertical="center"/>
    </xf>
    <xf numFmtId="0" fontId="31" fillId="0" borderId="41" xfId="0" applyFont="1" applyBorder="1" applyAlignment="1">
      <alignment horizontal="center" vertical="center"/>
    </xf>
    <xf numFmtId="0" fontId="29" fillId="0" borderId="46" xfId="0" applyFont="1" applyBorder="1" applyAlignment="1">
      <alignment horizontal="left" vertical="center"/>
    </xf>
    <xf numFmtId="0" fontId="31" fillId="0" borderId="41" xfId="0" applyFont="1" applyBorder="1" applyAlignment="1">
      <alignment vertical="center"/>
    </xf>
    <xf numFmtId="0" fontId="31" fillId="0" borderId="42" xfId="0" applyFont="1" applyBorder="1" applyAlignment="1">
      <alignment vertical="center"/>
    </xf>
    <xf numFmtId="0" fontId="31" fillId="0" borderId="27" xfId="0" applyFont="1" applyBorder="1" applyAlignment="1">
      <alignment vertical="center"/>
    </xf>
    <xf numFmtId="0" fontId="31" fillId="0" borderId="36" xfId="0" applyFont="1" applyBorder="1" applyAlignment="1">
      <alignment vertical="center"/>
    </xf>
    <xf numFmtId="0" fontId="29" fillId="0" borderId="16" xfId="0" applyFont="1" applyBorder="1" applyAlignment="1">
      <alignment vertical="center"/>
    </xf>
    <xf numFmtId="0" fontId="29" fillId="0" borderId="15" xfId="0" applyFont="1" applyBorder="1" applyAlignment="1">
      <alignment horizontal="center" vertical="center"/>
    </xf>
    <xf numFmtId="0" fontId="29" fillId="0" borderId="47" xfId="0" applyFont="1" applyBorder="1" applyAlignment="1">
      <alignment vertical="center"/>
    </xf>
    <xf numFmtId="0" fontId="29" fillId="0" borderId="16" xfId="0" applyFont="1" applyBorder="1" applyAlignment="1">
      <alignment horizontal="left" vertical="center"/>
    </xf>
    <xf numFmtId="0" fontId="29" fillId="0" borderId="15" xfId="0" applyFont="1" applyBorder="1" applyAlignment="1">
      <alignment vertical="center" wrapText="1"/>
    </xf>
    <xf numFmtId="0" fontId="29" fillId="0" borderId="16" xfId="0" applyFont="1" applyBorder="1" applyAlignment="1">
      <alignment horizontal="left" vertical="center" wrapText="1"/>
    </xf>
    <xf numFmtId="0" fontId="29" fillId="0" borderId="15" xfId="0" applyFont="1" applyBorder="1" applyAlignment="1">
      <alignment vertical="center"/>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29" fillId="0" borderId="5"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37" xfId="0" applyFont="1" applyBorder="1" applyAlignment="1">
      <alignment vertical="center"/>
    </xf>
    <xf numFmtId="0" fontId="31" fillId="0" borderId="37" xfId="0" applyFont="1" applyBorder="1" applyAlignment="1" applyProtection="1">
      <alignment horizontal="center" vertical="center"/>
      <protection locked="0"/>
    </xf>
    <xf numFmtId="0" fontId="29" fillId="0" borderId="38" xfId="0" applyFont="1" applyBorder="1" applyAlignment="1">
      <alignment vertical="center"/>
    </xf>
    <xf numFmtId="0" fontId="31" fillId="0" borderId="38" xfId="0" applyFont="1" applyBorder="1" applyAlignment="1">
      <alignment vertical="center"/>
    </xf>
    <xf numFmtId="0" fontId="29" fillId="0" borderId="38" xfId="0" applyFont="1" applyBorder="1" applyAlignment="1">
      <alignment horizontal="left" vertical="center" wrapText="1"/>
    </xf>
    <xf numFmtId="0" fontId="31" fillId="0" borderId="38" xfId="0" applyFont="1" applyBorder="1" applyAlignment="1" applyProtection="1">
      <alignment horizontal="center" vertical="center"/>
      <protection locked="0"/>
    </xf>
    <xf numFmtId="0" fontId="31" fillId="0" borderId="38" xfId="0" applyFont="1" applyBorder="1" applyAlignment="1">
      <alignment horizontal="left" vertical="center"/>
    </xf>
    <xf numFmtId="0" fontId="31" fillId="0" borderId="39" xfId="0" applyFont="1" applyBorder="1" applyAlignment="1">
      <alignment horizontal="left" vertical="center"/>
    </xf>
    <xf numFmtId="0" fontId="31" fillId="0" borderId="41" xfId="0" applyFont="1" applyBorder="1" applyAlignment="1" applyProtection="1">
      <alignment horizontal="center" vertical="center"/>
      <protection locked="0"/>
    </xf>
    <xf numFmtId="0" fontId="29" fillId="0" borderId="28" xfId="0" applyFont="1" applyBorder="1" applyAlignment="1">
      <alignment vertical="center"/>
    </xf>
    <xf numFmtId="0" fontId="31" fillId="0" borderId="38" xfId="0" applyFont="1" applyBorder="1" applyAlignment="1">
      <alignment horizontal="center" vertical="center"/>
    </xf>
    <xf numFmtId="0" fontId="31" fillId="0" borderId="27" xfId="0" applyFont="1" applyBorder="1" applyAlignment="1" applyProtection="1">
      <alignment horizontal="center" vertical="center"/>
      <protection locked="0"/>
    </xf>
    <xf numFmtId="0" fontId="29" fillId="0" borderId="29" xfId="0" applyFont="1" applyBorder="1" applyAlignment="1">
      <alignment horizontal="left" vertical="center"/>
    </xf>
    <xf numFmtId="0" fontId="29" fillId="0" borderId="34" xfId="0" applyFont="1" applyBorder="1" applyAlignment="1">
      <alignment horizontal="left" vertical="center"/>
    </xf>
    <xf numFmtId="0" fontId="29" fillId="0" borderId="36" xfId="0" applyFont="1" applyBorder="1" applyAlignment="1">
      <alignment horizontal="left" vertical="center"/>
    </xf>
    <xf numFmtId="0" fontId="29" fillId="0" borderId="47" xfId="0" applyFont="1" applyBorder="1" applyAlignment="1">
      <alignment horizontal="left" vertical="center" wrapText="1"/>
    </xf>
    <xf numFmtId="0" fontId="31" fillId="0" borderId="5" xfId="0" applyFont="1" applyBorder="1" applyAlignment="1" applyProtection="1">
      <alignment horizontal="center" vertical="center"/>
      <protection locked="0"/>
    </xf>
    <xf numFmtId="0" fontId="31" fillId="0" borderId="5" xfId="0" applyFont="1" applyBorder="1" applyAlignment="1">
      <alignment horizontal="left" vertical="center"/>
    </xf>
    <xf numFmtId="0" fontId="31" fillId="0" borderId="15" xfId="0" applyFont="1" applyBorder="1" applyAlignment="1">
      <alignment horizontal="left" vertical="center"/>
    </xf>
    <xf numFmtId="0" fontId="29" fillId="0" borderId="27" xfId="0" applyFont="1" applyBorder="1" applyAlignment="1">
      <alignment horizontal="left" vertical="center" wrapText="1"/>
    </xf>
    <xf numFmtId="0" fontId="29" fillId="0" borderId="31" xfId="0" applyFont="1" applyBorder="1" applyAlignment="1">
      <alignment vertical="center"/>
    </xf>
    <xf numFmtId="0" fontId="29" fillId="0" borderId="31" xfId="0" applyFont="1" applyBorder="1" applyAlignment="1">
      <alignment horizontal="left" vertical="center" wrapText="1"/>
    </xf>
    <xf numFmtId="0" fontId="29" fillId="0" borderId="31" xfId="0" applyFont="1" applyBorder="1" applyAlignment="1">
      <alignment horizontal="left" vertical="center"/>
    </xf>
    <xf numFmtId="0" fontId="31" fillId="0" borderId="31" xfId="0" applyFont="1" applyBorder="1" applyAlignment="1">
      <alignment horizontal="center" vertical="center"/>
    </xf>
    <xf numFmtId="0" fontId="29" fillId="0" borderId="32" xfId="0" applyFont="1" applyBorder="1" applyAlignment="1">
      <alignment horizontal="left" vertical="center"/>
    </xf>
    <xf numFmtId="0" fontId="29" fillId="0" borderId="0" xfId="0" applyFont="1" applyAlignment="1">
      <alignment horizontal="left" vertical="center" wrapText="1"/>
    </xf>
    <xf numFmtId="0" fontId="29" fillId="0" borderId="43" xfId="0" applyFont="1" applyBorder="1" applyAlignment="1">
      <alignment horizontal="left" vertical="center" wrapText="1"/>
    </xf>
    <xf numFmtId="0" fontId="29" fillId="0" borderId="13" xfId="0" applyFont="1" applyBorder="1" applyAlignment="1">
      <alignmen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29" fillId="0" borderId="1" xfId="0" applyFont="1" applyBorder="1" applyAlignment="1">
      <alignment horizontal="left" vertical="center"/>
    </xf>
    <xf numFmtId="0" fontId="29" fillId="0" borderId="45" xfId="0" applyFont="1" applyBorder="1" applyAlignment="1">
      <alignment horizontal="left" vertical="center"/>
    </xf>
    <xf numFmtId="0" fontId="29" fillId="0" borderId="44" xfId="0" applyFont="1" applyBorder="1" applyAlignment="1">
      <alignment horizontal="left" vertical="center"/>
    </xf>
    <xf numFmtId="0" fontId="29" fillId="0" borderId="15" xfId="0" applyFont="1" applyBorder="1" applyAlignment="1">
      <alignment horizontal="left" vertical="center"/>
    </xf>
    <xf numFmtId="0" fontId="29" fillId="0" borderId="47" xfId="0" applyFont="1" applyBorder="1" applyAlignment="1">
      <alignment horizontal="left" vertical="center"/>
    </xf>
    <xf numFmtId="0" fontId="31" fillId="0" borderId="13" xfId="0" applyFont="1" applyBorder="1" applyAlignment="1">
      <alignment vertical="center"/>
    </xf>
    <xf numFmtId="0" fontId="29" fillId="0" borderId="5" xfId="0" applyFont="1" applyBorder="1" applyAlignment="1">
      <alignment vertical="center"/>
    </xf>
    <xf numFmtId="0" fontId="31" fillId="0" borderId="5" xfId="0" applyFont="1" applyBorder="1" applyAlignment="1">
      <alignment horizontal="center" vertical="center"/>
    </xf>
    <xf numFmtId="0" fontId="29" fillId="0" borderId="25" xfId="0" applyFont="1" applyBorder="1" applyAlignment="1">
      <alignment vertical="center" wrapText="1"/>
    </xf>
    <xf numFmtId="0" fontId="29" fillId="0" borderId="45" xfId="0" applyFont="1" applyBorder="1" applyAlignment="1">
      <alignment horizontal="left" vertical="center" wrapText="1"/>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9" fillId="0" borderId="48" xfId="0" applyFont="1" applyBorder="1" applyAlignment="1">
      <alignment vertical="center" wrapText="1"/>
    </xf>
    <xf numFmtId="0" fontId="29" fillId="0" borderId="42" xfId="0" applyFont="1" applyBorder="1" applyAlignment="1">
      <alignment horizontal="left" vertical="center"/>
    </xf>
    <xf numFmtId="0" fontId="29" fillId="0" borderId="28" xfId="0" applyFont="1" applyBorder="1" applyAlignment="1">
      <alignment vertical="center" wrapText="1"/>
    </xf>
    <xf numFmtId="0" fontId="34" fillId="0" borderId="29" xfId="0" applyFont="1" applyBorder="1" applyAlignment="1">
      <alignment horizontal="left" vertical="center"/>
    </xf>
    <xf numFmtId="0" fontId="34" fillId="0" borderId="34" xfId="0" applyFont="1" applyBorder="1" applyAlignment="1">
      <alignment horizontal="left" vertical="center"/>
    </xf>
    <xf numFmtId="0" fontId="29" fillId="0" borderId="28" xfId="0" applyFont="1" applyBorder="1" applyAlignment="1">
      <alignment horizontal="left" vertical="center"/>
    </xf>
    <xf numFmtId="0" fontId="29" fillId="0" borderId="4" xfId="0" applyFont="1" applyBorder="1" applyAlignment="1">
      <alignment horizontal="left" vertical="center" wrapText="1"/>
    </xf>
    <xf numFmtId="0" fontId="29" fillId="0" borderId="4" xfId="0" applyFont="1" applyBorder="1" applyAlignment="1">
      <alignment horizontal="left" vertical="center"/>
    </xf>
    <xf numFmtId="0" fontId="29" fillId="0" borderId="28" xfId="0" applyFont="1" applyBorder="1" applyAlignment="1">
      <alignment horizontal="left" vertical="center" shrinkToFit="1"/>
    </xf>
    <xf numFmtId="0" fontId="29" fillId="0" borderId="55" xfId="0" applyFont="1" applyBorder="1" applyAlignment="1">
      <alignment horizontal="left" vertical="center" wrapText="1"/>
    </xf>
    <xf numFmtId="0" fontId="29" fillId="0" borderId="51" xfId="0" applyFont="1" applyBorder="1" applyAlignment="1">
      <alignment vertical="center"/>
    </xf>
    <xf numFmtId="0" fontId="29" fillId="0" borderId="48" xfId="0" applyFont="1" applyBorder="1" applyAlignment="1">
      <alignment vertical="center" shrinkToFit="1"/>
    </xf>
    <xf numFmtId="0" fontId="29" fillId="0" borderId="17" xfId="0" applyFont="1" applyBorder="1" applyAlignment="1">
      <alignment horizontal="left" vertical="center" shrinkToFit="1"/>
    </xf>
    <xf numFmtId="0" fontId="29" fillId="0" borderId="30" xfId="0" applyFont="1" applyBorder="1" applyAlignment="1">
      <alignment vertical="center"/>
    </xf>
    <xf numFmtId="0" fontId="31" fillId="0" borderId="27" xfId="0" applyFont="1" applyBorder="1" applyAlignment="1">
      <alignment horizontal="left" vertical="center"/>
    </xf>
    <xf numFmtId="0" fontId="31" fillId="0" borderId="36" xfId="0" applyFont="1" applyBorder="1" applyAlignment="1">
      <alignment horizontal="left" vertical="center"/>
    </xf>
    <xf numFmtId="0" fontId="29" fillId="0" borderId="37" xfId="0" applyFont="1" applyBorder="1" applyAlignment="1">
      <alignment horizontal="left" vertical="center"/>
    </xf>
    <xf numFmtId="0" fontId="29" fillId="0" borderId="41" xfId="0" applyFont="1" applyBorder="1" applyAlignment="1">
      <alignment horizontal="left" vertical="center" wrapText="1"/>
    </xf>
    <xf numFmtId="0" fontId="29" fillId="0" borderId="33" xfId="0" applyFont="1" applyBorder="1" applyAlignment="1">
      <alignment horizontal="left" vertical="center"/>
    </xf>
    <xf numFmtId="0" fontId="29" fillId="0" borderId="33" xfId="0" applyFont="1" applyBorder="1" applyAlignment="1">
      <alignment vertical="center" wrapText="1"/>
    </xf>
    <xf numFmtId="0" fontId="29" fillId="0" borderId="40" xfId="0" applyFont="1" applyBorder="1" applyAlignment="1">
      <alignment vertical="center"/>
    </xf>
    <xf numFmtId="0" fontId="29" fillId="0" borderId="3" xfId="0" applyFont="1" applyBorder="1" applyAlignment="1">
      <alignment vertical="center" wrapText="1"/>
    </xf>
    <xf numFmtId="0" fontId="29" fillId="0" borderId="1" xfId="0" applyFont="1" applyBorder="1" applyAlignment="1">
      <alignment horizontal="center" vertical="center" wrapText="1"/>
    </xf>
    <xf numFmtId="0" fontId="29" fillId="0" borderId="17" xfId="0" applyFont="1" applyBorder="1" applyAlignment="1">
      <alignment vertical="center" wrapText="1"/>
    </xf>
    <xf numFmtId="0" fontId="29" fillId="0" borderId="46" xfId="0" applyFont="1" applyBorder="1" applyAlignment="1">
      <alignment horizontal="center" vertical="center" wrapText="1"/>
    </xf>
    <xf numFmtId="0" fontId="29" fillId="0" borderId="45" xfId="0" applyFont="1" applyBorder="1" applyAlignment="1">
      <alignment vertical="center"/>
    </xf>
    <xf numFmtId="0" fontId="31" fillId="0" borderId="39" xfId="0" applyFont="1" applyBorder="1" applyAlignment="1">
      <alignment vertical="center"/>
    </xf>
    <xf numFmtId="0" fontId="29" fillId="0" borderId="47" xfId="0" applyFont="1" applyBorder="1" applyAlignment="1">
      <alignment vertical="center" wrapText="1"/>
    </xf>
    <xf numFmtId="0" fontId="29" fillId="0" borderId="5" xfId="0" applyFont="1" applyBorder="1" applyAlignment="1">
      <alignment horizontal="left" vertical="center"/>
    </xf>
    <xf numFmtId="0" fontId="31" fillId="0" borderId="5" xfId="0" applyFont="1" applyBorder="1" applyAlignment="1">
      <alignment vertical="center"/>
    </xf>
    <xf numFmtId="0" fontId="31" fillId="0" borderId="15" xfId="0" applyFont="1" applyBorder="1" applyAlignment="1">
      <alignment vertical="center"/>
    </xf>
    <xf numFmtId="0" fontId="29" fillId="0" borderId="3" xfId="0" applyFont="1" applyBorder="1" applyAlignment="1">
      <alignment horizontal="center" vertical="center" wrapText="1"/>
    </xf>
    <xf numFmtId="0" fontId="29" fillId="0" borderId="17" xfId="0" applyFont="1" applyBorder="1" applyAlignment="1">
      <alignment horizontal="center" vertical="center" wrapText="1"/>
    </xf>
    <xf numFmtId="0" fontId="31" fillId="0" borderId="46" xfId="0" applyFont="1" applyBorder="1" applyAlignment="1">
      <alignment vertical="center"/>
    </xf>
    <xf numFmtId="0" fontId="29" fillId="0" borderId="43" xfId="0" applyFont="1" applyBorder="1" applyAlignment="1">
      <alignment horizontal="left" vertical="center"/>
    </xf>
    <xf numFmtId="0" fontId="29" fillId="0" borderId="25" xfId="0" applyFont="1" applyBorder="1" applyAlignment="1">
      <alignment vertical="center" shrinkToFit="1"/>
    </xf>
    <xf numFmtId="0" fontId="29" fillId="0" borderId="3" xfId="0" applyFont="1" applyBorder="1" applyAlignment="1">
      <alignment horizontal="left" vertical="center" shrinkToFit="1"/>
    </xf>
    <xf numFmtId="0" fontId="29" fillId="0" borderId="50" xfId="0" applyFont="1" applyBorder="1" applyAlignment="1">
      <alignment horizontal="center" vertical="center"/>
    </xf>
    <xf numFmtId="0" fontId="29" fillId="0" borderId="9" xfId="0" applyFont="1" applyBorder="1" applyAlignment="1">
      <alignment horizontal="center" vertical="center"/>
    </xf>
    <xf numFmtId="0" fontId="29" fillId="0" borderId="16" xfId="0" applyFont="1" applyBorder="1" applyAlignment="1">
      <alignment horizontal="center" vertical="center"/>
    </xf>
    <xf numFmtId="0" fontId="31" fillId="0" borderId="16" xfId="0" applyFont="1" applyBorder="1" applyAlignment="1" applyProtection="1">
      <alignment horizontal="center" vertical="center"/>
      <protection locked="0"/>
    </xf>
    <xf numFmtId="0" fontId="29" fillId="0" borderId="5" xfId="0" applyFont="1" applyBorder="1" applyAlignment="1">
      <alignment vertical="center" wrapText="1"/>
    </xf>
    <xf numFmtId="0" fontId="31" fillId="0" borderId="4" xfId="0" applyFont="1" applyBorder="1" applyAlignment="1">
      <alignment horizontal="left" vertical="center"/>
    </xf>
    <xf numFmtId="0" fontId="31" fillId="0" borderId="1" xfId="0" applyFont="1" applyBorder="1" applyAlignment="1">
      <alignment horizontal="left" vertical="center"/>
    </xf>
    <xf numFmtId="0" fontId="29" fillId="0" borderId="44" xfId="0" applyFont="1" applyBorder="1" applyAlignment="1">
      <alignment vertical="center" wrapText="1"/>
    </xf>
    <xf numFmtId="0" fontId="29" fillId="0" borderId="34" xfId="0" applyFont="1" applyBorder="1" applyAlignment="1">
      <alignment vertical="top"/>
    </xf>
    <xf numFmtId="0" fontId="29" fillId="0" borderId="39" xfId="0" applyFont="1" applyBorder="1" applyAlignment="1">
      <alignment vertical="center"/>
    </xf>
    <xf numFmtId="0" fontId="34" fillId="0" borderId="29" xfId="0" applyFont="1" applyBorder="1" applyAlignment="1">
      <alignment vertical="center"/>
    </xf>
    <xf numFmtId="0" fontId="29" fillId="0" borderId="14" xfId="0" applyFont="1" applyBorder="1" applyAlignment="1">
      <alignment vertical="center"/>
    </xf>
    <xf numFmtId="0" fontId="29" fillId="0" borderId="0" xfId="0" applyFont="1" applyAlignment="1">
      <alignment horizontal="center"/>
    </xf>
    <xf numFmtId="0" fontId="29" fillId="0" borderId="0" xfId="0" applyFont="1"/>
    <xf numFmtId="0" fontId="28" fillId="0" borderId="0" xfId="0" applyFont="1" applyAlignment="1">
      <alignment horizontal="left" vertical="center"/>
    </xf>
    <xf numFmtId="14" fontId="29" fillId="0" borderId="0" xfId="0" applyNumberFormat="1" applyFont="1" applyAlignment="1">
      <alignment horizontal="left" vertical="center"/>
    </xf>
    <xf numFmtId="0" fontId="31" fillId="0" borderId="57" xfId="0" applyFont="1" applyBorder="1" applyAlignment="1" applyProtection="1">
      <alignment horizontal="center" vertical="center"/>
      <protection locked="0"/>
    </xf>
    <xf numFmtId="0" fontId="29" fillId="0" borderId="44" xfId="0" applyFont="1" applyBorder="1" applyAlignment="1">
      <alignment vertical="center"/>
    </xf>
    <xf numFmtId="0" fontId="35" fillId="0" borderId="27" xfId="0" applyFont="1" applyBorder="1" applyAlignment="1">
      <alignment horizontal="left" vertical="center"/>
    </xf>
    <xf numFmtId="0" fontId="35" fillId="0" borderId="36" xfId="0" applyFont="1" applyBorder="1" applyAlignment="1">
      <alignment horizontal="left" vertical="center"/>
    </xf>
    <xf numFmtId="0" fontId="29" fillId="0" borderId="4" xfId="0" applyFont="1" applyBorder="1" applyAlignment="1">
      <alignment vertical="top"/>
    </xf>
    <xf numFmtId="0" fontId="39" fillId="0" borderId="16" xfId="0" applyFont="1" applyBorder="1" applyAlignment="1">
      <alignment vertical="center"/>
    </xf>
    <xf numFmtId="0" fontId="39" fillId="0" borderId="15" xfId="0" applyFont="1" applyBorder="1" applyAlignment="1">
      <alignment horizontal="center" vertical="center"/>
    </xf>
    <xf numFmtId="0" fontId="39" fillId="0" borderId="47" xfId="0" applyFont="1" applyBorder="1" applyAlignment="1">
      <alignment vertical="center"/>
    </xf>
    <xf numFmtId="0" fontId="39" fillId="0" borderId="16" xfId="0" applyFont="1" applyBorder="1" applyAlignment="1">
      <alignment horizontal="left" vertical="center"/>
    </xf>
    <xf numFmtId="0" fontId="39" fillId="0" borderId="15" xfId="0" applyFont="1" applyBorder="1" applyAlignment="1">
      <alignment vertical="center" wrapText="1"/>
    </xf>
    <xf numFmtId="0" fontId="39" fillId="0" borderId="3" xfId="0" applyFont="1" applyBorder="1" applyAlignment="1">
      <alignment horizontal="left" vertical="center" wrapText="1"/>
    </xf>
    <xf numFmtId="0" fontId="39" fillId="0" borderId="1" xfId="0" applyFont="1" applyBorder="1" applyAlignment="1">
      <alignment vertical="center"/>
    </xf>
    <xf numFmtId="0" fontId="39" fillId="0" borderId="4" xfId="0" applyFont="1" applyBorder="1" applyAlignment="1">
      <alignment vertical="top"/>
    </xf>
    <xf numFmtId="0" fontId="39" fillId="0" borderId="1" xfId="0" applyFont="1" applyBorder="1" applyAlignment="1">
      <alignment vertical="top"/>
    </xf>
    <xf numFmtId="0" fontId="40" fillId="0" borderId="17" xfId="0" applyFont="1" applyBorder="1" applyAlignment="1" applyProtection="1">
      <alignment horizontal="center" vertical="center"/>
      <protection locked="0"/>
    </xf>
    <xf numFmtId="0" fontId="39" fillId="0" borderId="17" xfId="0" applyFont="1" applyBorder="1" applyAlignment="1">
      <alignment horizontal="left" vertical="center" wrapText="1"/>
    </xf>
    <xf numFmtId="0" fontId="39" fillId="0" borderId="46" xfId="0" applyFont="1" applyBorder="1" applyAlignment="1">
      <alignment vertical="center"/>
    </xf>
    <xf numFmtId="0" fontId="39" fillId="0" borderId="0" xfId="0" applyFont="1" applyAlignment="1">
      <alignment vertical="top"/>
    </xf>
    <xf numFmtId="0" fontId="39" fillId="0" borderId="46" xfId="0" applyFont="1" applyBorder="1" applyAlignment="1">
      <alignment vertical="top"/>
    </xf>
    <xf numFmtId="0" fontId="39" fillId="0" borderId="16" xfId="0" applyFont="1" applyBorder="1" applyAlignment="1">
      <alignment horizontal="center" vertical="center" wrapText="1"/>
    </xf>
    <xf numFmtId="0" fontId="39" fillId="0" borderId="15" xfId="0" applyFont="1" applyBorder="1" applyAlignment="1">
      <alignment vertical="center"/>
    </xf>
    <xf numFmtId="0" fontId="29" fillId="0" borderId="13" xfId="0" applyFont="1" applyBorder="1" applyAlignment="1">
      <alignment horizontal="left" vertical="center"/>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vertical="center" wrapText="1"/>
    </xf>
    <xf numFmtId="0" fontId="36" fillId="0" borderId="0" xfId="0" applyFont="1" applyAlignment="1">
      <alignment horizontal="left" vertical="center"/>
    </xf>
    <xf numFmtId="0" fontId="29" fillId="0" borderId="45" xfId="0" applyFont="1" applyBorder="1" applyAlignment="1">
      <alignment horizontal="left" vertical="center" shrinkToFit="1"/>
    </xf>
    <xf numFmtId="0" fontId="31" fillId="0" borderId="1" xfId="0" applyFont="1" applyBorder="1" applyAlignment="1">
      <alignment vertical="center" wrapText="1"/>
    </xf>
    <xf numFmtId="0" fontId="31" fillId="0" borderId="46" xfId="0" applyFont="1" applyBorder="1" applyAlignment="1">
      <alignment vertical="center" wrapText="1"/>
    </xf>
    <xf numFmtId="0" fontId="29" fillId="0" borderId="44" xfId="0" applyFont="1" applyBorder="1" applyAlignment="1">
      <alignment vertical="center" shrinkToFit="1"/>
    </xf>
    <xf numFmtId="0" fontId="29" fillId="0" borderId="28" xfId="0" applyFont="1" applyBorder="1" applyAlignment="1">
      <alignment vertical="center" shrinkToFit="1"/>
    </xf>
    <xf numFmtId="0" fontId="29" fillId="0" borderId="43" xfId="0" applyFont="1" applyBorder="1" applyAlignment="1">
      <alignment vertical="center" shrinkToFit="1"/>
    </xf>
    <xf numFmtId="0" fontId="34" fillId="0" borderId="34" xfId="0" applyFont="1" applyBorder="1" applyAlignment="1">
      <alignment vertical="center"/>
    </xf>
    <xf numFmtId="0" fontId="29" fillId="0" borderId="43" xfId="0" applyFont="1" applyBorder="1" applyAlignment="1">
      <alignment vertical="center" wrapText="1"/>
    </xf>
    <xf numFmtId="0" fontId="29" fillId="0" borderId="45" xfId="0" applyFont="1" applyBorder="1" applyAlignment="1">
      <alignment vertical="center" shrinkToFit="1"/>
    </xf>
    <xf numFmtId="0" fontId="29" fillId="0" borderId="42" xfId="0" applyFont="1" applyBorder="1" applyAlignment="1">
      <alignment vertical="top"/>
    </xf>
    <xf numFmtId="0" fontId="29" fillId="0" borderId="33"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9" fillId="0" borderId="29" xfId="0" applyFont="1" applyBorder="1" applyAlignment="1">
      <alignment horizontal="center" vertical="center"/>
    </xf>
    <xf numFmtId="0" fontId="31" fillId="0" borderId="0" xfId="0" applyFont="1"/>
    <xf numFmtId="0" fontId="31" fillId="0" borderId="17" xfId="0" applyFont="1" applyBorder="1" applyAlignment="1">
      <alignment vertical="top"/>
    </xf>
    <xf numFmtId="0" fontId="31" fillId="0" borderId="0" xfId="0" applyFont="1" applyAlignment="1">
      <alignment vertical="top"/>
    </xf>
    <xf numFmtId="0" fontId="31" fillId="0" borderId="46" xfId="0" applyFont="1" applyBorder="1" applyAlignment="1">
      <alignment vertical="top"/>
    </xf>
    <xf numFmtId="0" fontId="29" fillId="0" borderId="37"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3" xfId="0" applyFont="1" applyBorder="1" applyAlignment="1">
      <alignment vertical="top"/>
    </xf>
    <xf numFmtId="0" fontId="29" fillId="0" borderId="38" xfId="0" applyFont="1" applyBorder="1" applyAlignment="1" applyProtection="1">
      <alignment horizontal="center" vertical="center"/>
      <protection locked="0"/>
    </xf>
    <xf numFmtId="0" fontId="29" fillId="0" borderId="29" xfId="0" applyFont="1" applyBorder="1" applyAlignment="1">
      <alignment vertical="top"/>
    </xf>
    <xf numFmtId="0" fontId="29" fillId="0" borderId="41" xfId="0" applyFont="1" applyBorder="1" applyAlignment="1">
      <alignment vertical="top"/>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29" fillId="0" borderId="0" xfId="0" applyFont="1" applyAlignment="1">
      <alignment horizontal="left" vertical="center"/>
    </xf>
    <xf numFmtId="0" fontId="31" fillId="0" borderId="29" xfId="0" applyFont="1" applyFill="1" applyBorder="1" applyAlignment="1">
      <alignment horizontal="center" vertical="center"/>
    </xf>
    <xf numFmtId="0" fontId="29" fillId="0" borderId="29" xfId="0" applyFont="1" applyFill="1" applyBorder="1" applyAlignment="1">
      <alignment vertical="center"/>
    </xf>
    <xf numFmtId="0" fontId="31" fillId="0" borderId="29" xfId="0" applyFont="1" applyFill="1" applyBorder="1" applyAlignment="1">
      <alignment horizontal="left" vertical="center"/>
    </xf>
    <xf numFmtId="0" fontId="31" fillId="0" borderId="34"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0" fillId="0" borderId="14" xfId="0" applyFont="1" applyFill="1" applyBorder="1" applyAlignment="1">
      <alignment horizontal="left" vertical="center"/>
    </xf>
    <xf numFmtId="0" fontId="31" fillId="0" borderId="29" xfId="0" applyFont="1" applyFill="1" applyBorder="1" applyAlignment="1">
      <alignment vertical="center"/>
    </xf>
    <xf numFmtId="0" fontId="31" fillId="0" borderId="34" xfId="0" applyFont="1" applyFill="1" applyBorder="1" applyAlignment="1">
      <alignment vertical="center"/>
    </xf>
    <xf numFmtId="0" fontId="3" fillId="0" borderId="28" xfId="0" applyFont="1" applyFill="1" applyBorder="1" applyAlignment="1">
      <alignment horizontal="left" vertical="center"/>
    </xf>
    <xf numFmtId="0" fontId="0" fillId="0" borderId="34" xfId="0" applyFont="1" applyFill="1" applyBorder="1" applyAlignment="1">
      <alignment vertical="center"/>
    </xf>
    <xf numFmtId="0" fontId="3" fillId="0" borderId="45" xfId="0" applyFont="1" applyFill="1" applyBorder="1" applyAlignment="1">
      <alignment horizontal="lef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29" fillId="0" borderId="45" xfId="0" applyFont="1" applyFill="1" applyBorder="1" applyAlignment="1">
      <alignment horizontal="left" vertical="center"/>
    </xf>
    <xf numFmtId="0" fontId="31" fillId="0" borderId="37" xfId="0" applyFont="1" applyFill="1" applyBorder="1" applyAlignment="1" applyProtection="1">
      <alignment horizontal="center" vertical="center"/>
      <protection locked="0"/>
    </xf>
    <xf numFmtId="0" fontId="29" fillId="0" borderId="38" xfId="0" applyFont="1" applyFill="1" applyBorder="1" applyAlignment="1">
      <alignment vertical="center"/>
    </xf>
    <xf numFmtId="0" fontId="31" fillId="0" borderId="38" xfId="0" applyFont="1" applyFill="1" applyBorder="1" applyAlignment="1">
      <alignment vertical="center"/>
    </xf>
    <xf numFmtId="0" fontId="29" fillId="0" borderId="38" xfId="0" applyFont="1" applyFill="1" applyBorder="1" applyAlignment="1">
      <alignment horizontal="left" vertical="center" wrapText="1"/>
    </xf>
    <xf numFmtId="0" fontId="31" fillId="0" borderId="38" xfId="0" applyFont="1" applyFill="1" applyBorder="1" applyAlignment="1" applyProtection="1">
      <alignment horizontal="center" vertical="center"/>
      <protection locked="0"/>
    </xf>
    <xf numFmtId="0" fontId="31" fillId="0" borderId="38"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35" xfId="0" applyFont="1" applyFill="1" applyBorder="1" applyAlignment="1" applyProtection="1">
      <alignment horizontal="center" vertical="center"/>
      <protection locked="0"/>
    </xf>
    <xf numFmtId="0" fontId="29" fillId="0" borderId="27" xfId="0" applyFont="1" applyFill="1" applyBorder="1" applyAlignment="1">
      <alignment vertical="center"/>
    </xf>
    <xf numFmtId="0" fontId="29" fillId="0" borderId="27" xfId="0" applyFont="1" applyFill="1" applyBorder="1" applyAlignment="1">
      <alignment horizontal="left" vertical="center" wrapText="1"/>
    </xf>
    <xf numFmtId="0" fontId="31" fillId="0" borderId="27" xfId="0" applyFont="1" applyFill="1" applyBorder="1" applyAlignment="1" applyProtection="1">
      <alignment horizontal="center" vertical="center"/>
      <protection locked="0"/>
    </xf>
    <xf numFmtId="0" fontId="29" fillId="0" borderId="27" xfId="0" applyFont="1" applyFill="1" applyBorder="1" applyAlignment="1">
      <alignment horizontal="left" vertical="center"/>
    </xf>
    <xf numFmtId="0" fontId="29" fillId="0" borderId="36" xfId="0" applyFont="1" applyFill="1" applyBorder="1" applyAlignment="1">
      <alignment horizontal="left" vertical="center"/>
    </xf>
    <xf numFmtId="0" fontId="31" fillId="0" borderId="40" xfId="0" applyFont="1" applyFill="1" applyBorder="1" applyAlignment="1" applyProtection="1">
      <alignment horizontal="center" vertical="center"/>
      <protection locked="0"/>
    </xf>
    <xf numFmtId="0" fontId="29" fillId="0" borderId="41" xfId="0" applyFont="1" applyFill="1" applyBorder="1" applyAlignment="1">
      <alignment vertical="center"/>
    </xf>
    <xf numFmtId="0" fontId="31" fillId="0" borderId="41" xfId="0" applyFont="1" applyFill="1" applyBorder="1" applyAlignment="1" applyProtection="1">
      <alignment horizontal="center" vertical="center"/>
      <protection locked="0"/>
    </xf>
    <xf numFmtId="0" fontId="29" fillId="0" borderId="41" xfId="0" applyFont="1" applyFill="1" applyBorder="1" applyAlignment="1">
      <alignment horizontal="left" vertical="center"/>
    </xf>
    <xf numFmtId="0" fontId="29" fillId="0" borderId="42" xfId="0" applyFont="1" applyFill="1" applyBorder="1" applyAlignment="1">
      <alignment horizontal="left" vertical="center"/>
    </xf>
    <xf numFmtId="0" fontId="29" fillId="0" borderId="28" xfId="0" applyFont="1" applyFill="1" applyBorder="1" applyAlignment="1">
      <alignment horizontal="left" vertical="center"/>
    </xf>
    <xf numFmtId="0" fontId="31" fillId="0" borderId="33" xfId="0" applyFont="1" applyFill="1" applyBorder="1" applyAlignment="1" applyProtection="1">
      <alignment horizontal="center" vertical="center"/>
      <protection locked="0"/>
    </xf>
    <xf numFmtId="0" fontId="29" fillId="0" borderId="29" xfId="0" applyFont="1" applyFill="1" applyBorder="1" applyAlignment="1">
      <alignment horizontal="left" vertical="center" wrapText="1"/>
    </xf>
    <xf numFmtId="0" fontId="31" fillId="0" borderId="29" xfId="0" applyFont="1" applyFill="1" applyBorder="1" applyAlignment="1" applyProtection="1">
      <alignment horizontal="center" vertical="center"/>
      <protection locked="0"/>
    </xf>
    <xf numFmtId="0" fontId="3" fillId="0" borderId="0" xfId="0" applyFont="1" applyFill="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0" fillId="0" borderId="4" xfId="0" applyFont="1" applyFill="1" applyBorder="1" applyAlignment="1">
      <alignment vertical="center"/>
    </xf>
    <xf numFmtId="0" fontId="3" fillId="0" borderId="4" xfId="0" applyFont="1" applyFill="1" applyBorder="1" applyAlignment="1">
      <alignment horizontal="left" vertical="center" wrapText="1"/>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0" fillId="0" borderId="41" xfId="0" applyFont="1" applyFill="1" applyBorder="1" applyAlignment="1">
      <alignment vertical="center"/>
    </xf>
    <xf numFmtId="0" fontId="3" fillId="0" borderId="29" xfId="0" applyFont="1" applyFill="1" applyBorder="1" applyAlignment="1">
      <alignment horizontal="left" vertical="center"/>
    </xf>
    <xf numFmtId="0" fontId="0" fillId="0" borderId="39" xfId="0" applyFont="1" applyFill="1" applyBorder="1" applyAlignment="1">
      <alignment vertical="center"/>
    </xf>
    <xf numFmtId="0" fontId="29" fillId="0" borderId="33" xfId="0" applyFont="1" applyFill="1" applyBorder="1" applyAlignment="1">
      <alignment vertical="center"/>
    </xf>
    <xf numFmtId="0" fontId="29" fillId="0" borderId="30" xfId="0" applyFont="1" applyFill="1" applyBorder="1" applyAlignment="1">
      <alignment vertical="center"/>
    </xf>
    <xf numFmtId="0" fontId="31" fillId="0" borderId="27" xfId="0" applyFont="1" applyFill="1" applyBorder="1" applyAlignment="1">
      <alignment horizontal="left" vertical="center"/>
    </xf>
    <xf numFmtId="0" fontId="31" fillId="0" borderId="36" xfId="0" applyFont="1" applyFill="1" applyBorder="1" applyAlignment="1">
      <alignment horizontal="left" vertical="center"/>
    </xf>
    <xf numFmtId="0" fontId="31" fillId="0" borderId="41" xfId="0" applyFont="1" applyFill="1" applyBorder="1" applyAlignment="1">
      <alignment horizontal="left" vertical="center"/>
    </xf>
    <xf numFmtId="0" fontId="31" fillId="0" borderId="42" xfId="0" applyFont="1" applyFill="1" applyBorder="1" applyAlignment="1">
      <alignment horizontal="left" vertical="center"/>
    </xf>
    <xf numFmtId="0" fontId="31" fillId="0" borderId="27" xfId="0" applyFont="1" applyFill="1" applyBorder="1" applyAlignment="1">
      <alignment vertical="center"/>
    </xf>
    <xf numFmtId="0" fontId="29" fillId="0" borderId="28" xfId="0" applyFont="1" applyFill="1" applyBorder="1" applyAlignment="1">
      <alignment vertical="center" wrapText="1"/>
    </xf>
    <xf numFmtId="0" fontId="29" fillId="0" borderId="29"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36" xfId="0" applyFont="1" applyFill="1" applyBorder="1" applyAlignment="1">
      <alignment vertical="center"/>
    </xf>
    <xf numFmtId="0" fontId="29" fillId="0" borderId="42" xfId="0" applyFont="1" applyFill="1" applyBorder="1" applyAlignment="1">
      <alignment vertical="center"/>
    </xf>
    <xf numFmtId="0" fontId="29" fillId="0" borderId="0" xfId="0" applyFont="1" applyFill="1" applyAlignment="1">
      <alignment vertical="center"/>
    </xf>
    <xf numFmtId="0" fontId="3" fillId="0" borderId="30"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27" xfId="0" applyFont="1" applyFill="1" applyBorder="1" applyAlignment="1">
      <alignment vertical="center"/>
    </xf>
    <xf numFmtId="0" fontId="3" fillId="0" borderId="28" xfId="0" applyFont="1" applyFill="1" applyBorder="1" applyAlignment="1">
      <alignment vertical="center" wrapText="1"/>
    </xf>
    <xf numFmtId="0" fontId="3" fillId="0" borderId="34" xfId="0" applyFont="1" applyFill="1" applyBorder="1" applyAlignment="1">
      <alignment horizontal="lef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pplyProtection="1">
      <alignment horizontal="center" vertical="center"/>
      <protection locked="0"/>
    </xf>
    <xf numFmtId="0" fontId="3" fillId="0" borderId="17" xfId="0" applyFont="1" applyFill="1" applyBorder="1" applyAlignment="1">
      <alignment vertical="top"/>
    </xf>
    <xf numFmtId="0" fontId="3" fillId="0" borderId="0" xfId="0" applyFont="1" applyFill="1" applyAlignment="1">
      <alignment vertical="top"/>
    </xf>
    <xf numFmtId="0" fontId="29" fillId="0" borderId="0" xfId="0" applyFont="1" applyFill="1" applyAlignment="1">
      <alignment vertical="top"/>
    </xf>
    <xf numFmtId="0" fontId="31" fillId="0" borderId="3" xfId="0" applyFont="1" applyFill="1" applyBorder="1" applyAlignment="1" applyProtection="1">
      <alignment horizontal="center" vertical="center"/>
      <protection locked="0"/>
    </xf>
    <xf numFmtId="0" fontId="29" fillId="0" borderId="4" xfId="0" applyFont="1" applyFill="1" applyBorder="1" applyAlignment="1">
      <alignment vertical="center"/>
    </xf>
    <xf numFmtId="0" fontId="31" fillId="0" borderId="4" xfId="0" applyFont="1" applyFill="1" applyBorder="1" applyAlignment="1">
      <alignment vertical="center"/>
    </xf>
    <xf numFmtId="0" fontId="31" fillId="0" borderId="4" xfId="0" applyFont="1" applyFill="1" applyBorder="1" applyAlignment="1" applyProtection="1">
      <alignment horizontal="center" vertical="center"/>
      <protection locked="0"/>
    </xf>
    <xf numFmtId="0" fontId="29" fillId="0" borderId="4" xfId="0" applyFont="1" applyFill="1" applyBorder="1" applyAlignment="1">
      <alignment horizontal="left" vertical="center"/>
    </xf>
    <xf numFmtId="0" fontId="29" fillId="0" borderId="1" xfId="0" applyFont="1" applyFill="1" applyBorder="1" applyAlignment="1">
      <alignment horizontal="left" vertical="center"/>
    </xf>
    <xf numFmtId="0" fontId="31" fillId="0" borderId="41" xfId="0" applyFont="1" applyFill="1" applyBorder="1" applyAlignment="1">
      <alignment vertical="center"/>
    </xf>
    <xf numFmtId="0" fontId="31" fillId="0" borderId="0" xfId="0" applyFont="1" applyFill="1" applyAlignment="1" applyProtection="1">
      <alignment horizontal="center" vertical="center"/>
      <protection locked="0"/>
    </xf>
    <xf numFmtId="0" fontId="29" fillId="0" borderId="17" xfId="0" applyFont="1" applyFill="1" applyBorder="1" applyAlignment="1">
      <alignment vertical="top"/>
    </xf>
    <xf numFmtId="0" fontId="3" fillId="0" borderId="45" xfId="0" applyFont="1" applyFill="1" applyBorder="1" applyAlignment="1">
      <alignment vertical="center"/>
    </xf>
    <xf numFmtId="0" fontId="3" fillId="0" borderId="38" xfId="0" applyFont="1" applyFill="1" applyBorder="1" applyAlignment="1">
      <alignment horizontal="left" vertical="center"/>
    </xf>
    <xf numFmtId="0" fontId="3" fillId="0" borderId="28" xfId="0" applyFont="1" applyFill="1" applyBorder="1" applyAlignment="1">
      <alignment vertical="center"/>
    </xf>
    <xf numFmtId="0" fontId="3"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horizontal="left" vertical="center" wrapText="1"/>
    </xf>
    <xf numFmtId="0" fontId="29" fillId="0" borderId="34" xfId="0" applyFont="1" applyFill="1" applyBorder="1" applyAlignment="1">
      <alignment vertical="center"/>
    </xf>
    <xf numFmtId="0" fontId="31" fillId="0" borderId="41" xfId="0" applyFont="1" applyFill="1" applyBorder="1" applyAlignment="1">
      <alignment horizontal="center" vertical="center"/>
    </xf>
    <xf numFmtId="0" fontId="31" fillId="0" borderId="42" xfId="0" applyFont="1" applyFill="1" applyBorder="1" applyAlignment="1">
      <alignment vertical="center"/>
    </xf>
    <xf numFmtId="0" fontId="3" fillId="0" borderId="40" xfId="0" applyFont="1" applyFill="1" applyBorder="1" applyAlignment="1">
      <alignment vertical="center"/>
    </xf>
    <xf numFmtId="0" fontId="0" fillId="0" borderId="41" xfId="0" applyFont="1" applyFill="1" applyBorder="1" applyAlignment="1">
      <alignment horizontal="center" vertical="center"/>
    </xf>
    <xf numFmtId="0" fontId="3" fillId="0" borderId="44" xfId="0" applyFont="1" applyFill="1" applyBorder="1" applyAlignment="1">
      <alignment horizontal="left" vertical="center"/>
    </xf>
    <xf numFmtId="0" fontId="0" fillId="0" borderId="42" xfId="0" applyFont="1" applyFill="1" applyBorder="1" applyAlignment="1">
      <alignment vertical="center"/>
    </xf>
    <xf numFmtId="0" fontId="31" fillId="0" borderId="17" xfId="0" applyFont="1" applyFill="1" applyBorder="1" applyAlignment="1" applyProtection="1">
      <alignment horizontal="center" vertical="center"/>
      <protection locked="0"/>
    </xf>
    <xf numFmtId="0" fontId="29" fillId="0" borderId="0" xfId="0" applyFont="1" applyFill="1" applyAlignment="1">
      <alignment horizontal="left" vertical="center"/>
    </xf>
    <xf numFmtId="0" fontId="29" fillId="0" borderId="46" xfId="0" applyFont="1" applyFill="1" applyBorder="1" applyAlignment="1">
      <alignment horizontal="left" vertical="center"/>
    </xf>
    <xf numFmtId="0" fontId="0" fillId="0" borderId="41" xfId="0" applyFill="1" applyBorder="1" applyAlignment="1">
      <alignment vertical="center"/>
    </xf>
    <xf numFmtId="0" fontId="0" fillId="0" borderId="41" xfId="0" applyFill="1" applyBorder="1" applyAlignment="1">
      <alignment horizontal="center" vertical="center"/>
    </xf>
    <xf numFmtId="0" fontId="0" fillId="0" borderId="41" xfId="0" applyFill="1" applyBorder="1" applyAlignment="1">
      <alignment horizontal="left" vertical="center"/>
    </xf>
    <xf numFmtId="0" fontId="0" fillId="0" borderId="42" xfId="0" applyFill="1" applyBorder="1" applyAlignment="1">
      <alignment horizontal="left" vertical="center"/>
    </xf>
    <xf numFmtId="0" fontId="0" fillId="0" borderId="0" xfId="0" applyFill="1" applyAlignment="1">
      <alignment horizontal="center" vertical="center"/>
    </xf>
    <xf numFmtId="0" fontId="29" fillId="0" borderId="28" xfId="0" applyFont="1" applyFill="1" applyBorder="1" applyAlignment="1">
      <alignment horizontal="left" vertical="center" shrinkToFit="1"/>
    </xf>
    <xf numFmtId="0" fontId="29" fillId="0" borderId="28" xfId="0" applyFont="1" applyFill="1" applyBorder="1" applyAlignment="1">
      <alignment horizontal="left" vertical="center" wrapText="1"/>
    </xf>
    <xf numFmtId="0" fontId="33" fillId="0" borderId="29" xfId="0" applyFont="1" applyFill="1" applyBorder="1" applyAlignment="1">
      <alignment horizontal="left" vertical="center"/>
    </xf>
    <xf numFmtId="0" fontId="32" fillId="0" borderId="29" xfId="0" applyFont="1" applyFill="1" applyBorder="1" applyAlignment="1">
      <alignment vertical="top"/>
    </xf>
    <xf numFmtId="0" fontId="33" fillId="0" borderId="27" xfId="0" applyFont="1" applyFill="1" applyBorder="1" applyAlignment="1">
      <alignment horizontal="left" vertical="center"/>
    </xf>
    <xf numFmtId="0" fontId="32" fillId="0" borderId="34" xfId="0" applyFont="1" applyFill="1" applyBorder="1" applyAlignment="1">
      <alignment vertical="top"/>
    </xf>
    <xf numFmtId="0" fontId="29" fillId="0" borderId="34" xfId="0" applyFont="1" applyFill="1" applyBorder="1" applyAlignment="1">
      <alignment vertical="top"/>
    </xf>
    <xf numFmtId="0" fontId="31" fillId="0" borderId="5" xfId="0" applyFont="1" applyFill="1" applyBorder="1" applyAlignment="1">
      <alignment horizontal="left" vertical="center"/>
    </xf>
    <xf numFmtId="0" fontId="31" fillId="0" borderId="15" xfId="0" applyFont="1" applyFill="1" applyBorder="1" applyAlignment="1">
      <alignment horizontal="left" vertical="center"/>
    </xf>
    <xf numFmtId="0" fontId="33" fillId="0" borderId="49" xfId="0" applyFont="1" applyFill="1" applyBorder="1" applyAlignment="1">
      <alignment horizontal="left" vertical="center"/>
    </xf>
    <xf numFmtId="0" fontId="33" fillId="0" borderId="41" xfId="0" applyFont="1" applyFill="1" applyBorder="1" applyAlignment="1">
      <alignment horizontal="left" vertical="center"/>
    </xf>
    <xf numFmtId="0" fontId="33" fillId="0" borderId="84" xfId="0" applyFont="1" applyFill="1" applyBorder="1" applyAlignment="1">
      <alignment horizontal="left" vertical="center"/>
    </xf>
    <xf numFmtId="0" fontId="31" fillId="0" borderId="0" xfId="0" applyFont="1" applyFill="1" applyAlignment="1">
      <alignment horizontal="left" vertical="center"/>
    </xf>
    <xf numFmtId="0" fontId="31" fillId="0" borderId="46" xfId="0" applyFont="1" applyFill="1" applyBorder="1" applyAlignment="1">
      <alignment horizontal="left" vertical="center"/>
    </xf>
    <xf numFmtId="0" fontId="29" fillId="0" borderId="39" xfId="0" applyFont="1" applyFill="1" applyBorder="1" applyAlignment="1">
      <alignment vertical="center"/>
    </xf>
    <xf numFmtId="0" fontId="34" fillId="0" borderId="29" xfId="0" applyFont="1" applyFill="1" applyBorder="1" applyAlignment="1">
      <alignment vertical="center"/>
    </xf>
    <xf numFmtId="0" fontId="38" fillId="0" borderId="29" xfId="0" applyFont="1" applyFill="1" applyBorder="1" applyAlignment="1">
      <alignment horizontal="center" vertical="center"/>
    </xf>
    <xf numFmtId="0" fontId="29" fillId="0" borderId="0" xfId="0" applyFont="1" applyFill="1" applyAlignment="1">
      <alignment horizontal="left" vertical="center" wrapText="1"/>
    </xf>
    <xf numFmtId="0" fontId="29" fillId="0" borderId="46" xfId="0" applyFont="1" applyFill="1" applyBorder="1" applyAlignment="1">
      <alignment vertical="center"/>
    </xf>
    <xf numFmtId="0" fontId="3" fillId="0" borderId="47" xfId="0" applyFont="1" applyFill="1" applyBorder="1" applyAlignment="1">
      <alignmen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5" xfId="0" applyFont="1" applyFill="1" applyBorder="1" applyAlignment="1">
      <alignment horizontal="left" vertical="center"/>
    </xf>
    <xf numFmtId="0" fontId="0" fillId="0" borderId="49" xfId="0" applyFont="1" applyFill="1" applyBorder="1" applyAlignment="1">
      <alignment horizontal="left" vertical="center"/>
    </xf>
    <xf numFmtId="0" fontId="3" fillId="0" borderId="44" xfId="0" applyFont="1" applyFill="1" applyBorder="1" applyAlignment="1">
      <alignment vertical="center" wrapText="1" shrinkToFit="1"/>
    </xf>
    <xf numFmtId="0" fontId="0" fillId="0" borderId="0" xfId="0" applyFont="1" applyFill="1" applyAlignment="1">
      <alignment horizontal="left" vertical="center"/>
    </xf>
    <xf numFmtId="0" fontId="3" fillId="0" borderId="37" xfId="0" applyFont="1" applyFill="1" applyBorder="1" applyAlignment="1">
      <alignment vertical="center"/>
    </xf>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3" fillId="0" borderId="0" xfId="0" applyFont="1" applyFill="1" applyAlignment="1">
      <alignment horizontal="left" vertical="center"/>
    </xf>
    <xf numFmtId="0" fontId="0" fillId="0" borderId="36" xfId="0" applyFont="1" applyFill="1" applyBorder="1" applyAlignment="1">
      <alignment vertical="center"/>
    </xf>
    <xf numFmtId="0" fontId="3" fillId="0" borderId="28" xfId="0" applyFont="1" applyFill="1" applyBorder="1" applyAlignment="1">
      <alignment horizontal="left" vertical="center" shrinkToFit="1"/>
    </xf>
    <xf numFmtId="0" fontId="0" fillId="0" borderId="13" xfId="0" applyFont="1" applyFill="1" applyBorder="1" applyAlignment="1">
      <alignment vertical="center"/>
    </xf>
    <xf numFmtId="0" fontId="3" fillId="0" borderId="46" xfId="0" applyFont="1" applyFill="1" applyBorder="1" applyAlignment="1">
      <alignment horizontal="left" vertical="center"/>
    </xf>
    <xf numFmtId="0" fontId="3" fillId="0" borderId="41" xfId="0" applyFont="1" applyFill="1" applyBorder="1" applyAlignment="1" applyProtection="1">
      <alignment horizontal="left" vertical="center"/>
      <protection locked="0"/>
    </xf>
    <xf numFmtId="0" fontId="0" fillId="0" borderId="38" xfId="0" applyFont="1" applyFill="1" applyBorder="1" applyAlignment="1">
      <alignment horizontal="center" vertical="center"/>
    </xf>
    <xf numFmtId="0" fontId="3" fillId="0" borderId="38" xfId="0" applyFont="1" applyFill="1" applyBorder="1" applyAlignment="1">
      <alignment vertical="top"/>
    </xf>
    <xf numFmtId="0" fontId="3" fillId="0" borderId="39" xfId="0" applyFont="1" applyFill="1" applyBorder="1" applyAlignment="1">
      <alignment horizontal="left" vertical="center" wrapText="1"/>
    </xf>
    <xf numFmtId="0" fontId="3" fillId="0" borderId="54" xfId="0" applyFont="1" applyFill="1" applyBorder="1" applyAlignment="1">
      <alignment vertical="center" wrapText="1" shrinkToFit="1"/>
    </xf>
    <xf numFmtId="0" fontId="0" fillId="0" borderId="15" xfId="0" applyFont="1" applyFill="1" applyBorder="1" applyAlignment="1">
      <alignment horizontal="left" vertical="center"/>
    </xf>
    <xf numFmtId="0" fontId="31" fillId="0" borderId="41"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1" fillId="0" borderId="41"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31" fillId="0" borderId="40"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4"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horizontal="left" vertical="center"/>
    </xf>
    <xf numFmtId="0" fontId="31" fillId="0" borderId="36" xfId="0" applyFont="1" applyFill="1" applyBorder="1" applyAlignment="1">
      <alignment vertical="center"/>
    </xf>
    <xf numFmtId="0" fontId="29" fillId="0" borderId="38" xfId="0" applyFont="1" applyFill="1" applyBorder="1" applyAlignment="1">
      <alignment horizontal="left" vertical="center"/>
    </xf>
    <xf numFmtId="0" fontId="3" fillId="0" borderId="46" xfId="0" applyFont="1" applyFill="1" applyBorder="1" applyAlignment="1">
      <alignment vertical="center"/>
    </xf>
    <xf numFmtId="0" fontId="29" fillId="0" borderId="35"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3" fillId="0" borderId="44" xfId="0" applyFont="1" applyFill="1" applyBorder="1" applyAlignment="1">
      <alignment horizontal="left" vertical="center" shrinkToFit="1"/>
    </xf>
    <xf numFmtId="0" fontId="0" fillId="0" borderId="57" xfId="0" applyFont="1" applyFill="1" applyBorder="1" applyAlignment="1" applyProtection="1">
      <alignment horizontal="center" vertical="center"/>
      <protection locked="0"/>
    </xf>
    <xf numFmtId="0" fontId="29" fillId="0" borderId="85" xfId="0" applyFont="1" applyFill="1" applyBorder="1" applyAlignment="1">
      <alignment horizontal="left" vertical="center" shrinkToFit="1"/>
    </xf>
    <xf numFmtId="0" fontId="31" fillId="0" borderId="86" xfId="0" applyFont="1" applyFill="1" applyBorder="1" applyAlignment="1" applyProtection="1">
      <alignment horizontal="center" vertical="center"/>
      <protection locked="0"/>
    </xf>
    <xf numFmtId="0" fontId="29" fillId="0" borderId="87" xfId="0" applyFont="1" applyFill="1" applyBorder="1" applyAlignment="1">
      <alignment vertical="center"/>
    </xf>
    <xf numFmtId="0" fontId="29" fillId="0" borderId="87" xfId="0" applyFont="1" applyFill="1" applyBorder="1" applyAlignment="1">
      <alignment horizontal="left" vertical="center" wrapText="1"/>
    </xf>
    <xf numFmtId="0" fontId="31" fillId="0" borderId="87" xfId="0" applyFont="1" applyFill="1" applyBorder="1" applyAlignment="1" applyProtection="1">
      <alignment horizontal="center" vertical="center"/>
      <protection locked="0"/>
    </xf>
    <xf numFmtId="0" fontId="29" fillId="0" borderId="87" xfId="0" applyFont="1" applyFill="1" applyBorder="1" applyAlignment="1">
      <alignment horizontal="left" vertical="center"/>
    </xf>
    <xf numFmtId="0" fontId="29" fillId="0" borderId="88" xfId="0" applyFont="1" applyFill="1" applyBorder="1" applyAlignment="1">
      <alignment horizontal="left" vertical="center"/>
    </xf>
    <xf numFmtId="0" fontId="29" fillId="0" borderId="45" xfId="0" applyFont="1" applyFill="1" applyBorder="1" applyAlignment="1">
      <alignment horizontal="left" vertical="center" shrinkToFit="1"/>
    </xf>
    <xf numFmtId="0" fontId="29" fillId="0" borderId="39" xfId="0" applyFont="1" applyFill="1" applyBorder="1" applyAlignment="1">
      <alignment horizontal="left" vertical="center"/>
    </xf>
    <xf numFmtId="0" fontId="29" fillId="0" borderId="40" xfId="0" applyFont="1" applyFill="1" applyBorder="1" applyAlignment="1">
      <alignment vertical="center"/>
    </xf>
    <xf numFmtId="0" fontId="29" fillId="0" borderId="41" xfId="0" applyFont="1" applyFill="1" applyBorder="1" applyAlignment="1">
      <alignment horizontal="left" vertical="center" wrapText="1"/>
    </xf>
    <xf numFmtId="0" fontId="3" fillId="0" borderId="45" xfId="0" applyFont="1" applyFill="1" applyBorder="1" applyAlignment="1">
      <alignment horizontal="left" vertical="center" shrinkToFit="1"/>
    </xf>
    <xf numFmtId="0" fontId="3" fillId="0" borderId="39" xfId="0" applyFont="1" applyFill="1" applyBorder="1" applyAlignment="1">
      <alignment horizontal="left" vertical="center"/>
    </xf>
    <xf numFmtId="0" fontId="0" fillId="0" borderId="27" xfId="0" applyFont="1" applyFill="1" applyBorder="1" applyAlignment="1" applyProtection="1">
      <alignment horizontal="center" vertical="center"/>
      <protection locked="0"/>
    </xf>
    <xf numFmtId="0" fontId="29" fillId="0" borderId="53" xfId="0" applyFont="1" applyFill="1" applyBorder="1" applyAlignment="1">
      <alignment vertical="center"/>
    </xf>
    <xf numFmtId="0" fontId="29" fillId="0" borderId="44" xfId="0" applyFont="1" applyFill="1" applyBorder="1" applyAlignment="1">
      <alignment vertical="center"/>
    </xf>
    <xf numFmtId="0" fontId="3" fillId="0" borderId="1" xfId="0" applyFont="1" applyFill="1" applyBorder="1" applyAlignment="1">
      <alignment vertical="top"/>
    </xf>
    <xf numFmtId="0" fontId="3" fillId="0" borderId="46" xfId="0" applyFont="1" applyFill="1" applyBorder="1" applyAlignment="1">
      <alignment vertical="top"/>
    </xf>
    <xf numFmtId="0" fontId="3" fillId="0" borderId="34" xfId="0" applyFont="1" applyFill="1" applyBorder="1" applyAlignment="1">
      <alignment vertical="top"/>
    </xf>
    <xf numFmtId="0" fontId="3" fillId="0" borderId="29" xfId="0" applyFont="1" applyFill="1" applyBorder="1" applyAlignment="1">
      <alignment vertical="top"/>
    </xf>
    <xf numFmtId="0" fontId="3" fillId="0" borderId="44" xfId="0" applyFont="1" applyFill="1" applyBorder="1" applyAlignment="1">
      <alignment vertical="center" shrinkToFit="1"/>
    </xf>
    <xf numFmtId="0" fontId="3" fillId="0" borderId="28" xfId="0" applyFont="1" applyFill="1" applyBorder="1" applyAlignment="1">
      <alignment vertical="center" shrinkToFit="1"/>
    </xf>
    <xf numFmtId="0" fontId="3" fillId="0" borderId="16" xfId="0" applyFont="1" applyFill="1" applyBorder="1" applyAlignment="1">
      <alignment vertical="center"/>
    </xf>
    <xf numFmtId="0" fontId="3" fillId="0" borderId="39" xfId="0" applyFont="1" applyFill="1" applyBorder="1" applyAlignment="1">
      <alignment vertical="top"/>
    </xf>
    <xf numFmtId="0" fontId="3" fillId="0" borderId="3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43" xfId="0" applyFont="1" applyFill="1" applyBorder="1" applyAlignment="1">
      <alignment vertical="center" wrapText="1"/>
    </xf>
    <xf numFmtId="0" fontId="3" fillId="0" borderId="14" xfId="0" applyFont="1" applyFill="1" applyBorder="1" applyAlignment="1">
      <alignment vertical="center"/>
    </xf>
    <xf numFmtId="0" fontId="3" fillId="0" borderId="45" xfId="0" applyFont="1" applyFill="1" applyBorder="1" applyAlignment="1">
      <alignment vertical="center" shrinkToFit="1"/>
    </xf>
    <xf numFmtId="0" fontId="3" fillId="0" borderId="39" xfId="0" applyFont="1" applyFill="1" applyBorder="1" applyAlignment="1">
      <alignment vertical="center"/>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7" fillId="0" borderId="29" xfId="0" applyFont="1" applyFill="1" applyBorder="1" applyAlignment="1">
      <alignment vertical="center"/>
    </xf>
    <xf numFmtId="0" fontId="7" fillId="0" borderId="34" xfId="0" applyFont="1" applyFill="1" applyBorder="1" applyAlignment="1">
      <alignment vertical="center"/>
    </xf>
    <xf numFmtId="0" fontId="3" fillId="0" borderId="13" xfId="0" applyFont="1" applyFill="1" applyBorder="1" applyAlignment="1">
      <alignment horizontal="left" vertical="center"/>
    </xf>
    <xf numFmtId="0" fontId="29" fillId="0" borderId="41" xfId="0" applyFont="1" applyBorder="1" applyAlignment="1">
      <alignment horizontal="left" vertical="center"/>
    </xf>
    <xf numFmtId="0" fontId="29" fillId="0" borderId="30" xfId="0" applyFont="1" applyBorder="1" applyAlignment="1">
      <alignment horizontal="left" vertical="center" wrapText="1"/>
    </xf>
    <xf numFmtId="0" fontId="29" fillId="0" borderId="44" xfId="0" applyFont="1" applyBorder="1" applyAlignment="1">
      <alignment horizontal="left" vertical="center" wrapText="1"/>
    </xf>
    <xf numFmtId="0" fontId="31" fillId="0" borderId="35"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29" fillId="0" borderId="29" xfId="0" applyFont="1" applyBorder="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31" fillId="0" borderId="17"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29" fillId="0" borderId="28" xfId="0" applyFont="1" applyBorder="1" applyAlignment="1">
      <alignment horizontal="left" vertical="center" wrapText="1"/>
    </xf>
    <xf numFmtId="0" fontId="29" fillId="0" borderId="46" xfId="0" applyFont="1" applyBorder="1" applyAlignment="1">
      <alignment horizontal="center" vertical="center"/>
    </xf>
    <xf numFmtId="0" fontId="29" fillId="0" borderId="30" xfId="0" applyFont="1" applyBorder="1" applyAlignment="1">
      <alignment horizontal="left" vertical="center" wrapText="1"/>
    </xf>
    <xf numFmtId="0" fontId="31" fillId="0" borderId="35"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29" fillId="0" borderId="48" xfId="0" applyFont="1" applyBorder="1" applyAlignment="1">
      <alignment vertical="center" wrapText="1"/>
    </xf>
    <xf numFmtId="0" fontId="31" fillId="0" borderId="3"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9" fillId="0" borderId="46" xfId="0" applyFont="1" applyBorder="1" applyAlignment="1">
      <alignment horizontal="center" vertical="center"/>
    </xf>
    <xf numFmtId="0" fontId="29" fillId="0" borderId="46" xfId="0" applyFont="1" applyBorder="1" applyAlignment="1">
      <alignment horizontal="center" vertical="center"/>
    </xf>
    <xf numFmtId="0" fontId="31" fillId="0" borderId="35"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29" fillId="0" borderId="15" xfId="0" applyFont="1" applyBorder="1" applyAlignment="1">
      <alignment horizontal="center" vertical="center"/>
    </xf>
    <xf numFmtId="0" fontId="29" fillId="0" borderId="0" xfId="0" applyFont="1" applyBorder="1" applyAlignment="1">
      <alignment vertical="center"/>
    </xf>
    <xf numFmtId="0" fontId="0" fillId="33" borderId="27" xfId="0" applyFont="1" applyFill="1" applyBorder="1" applyAlignment="1">
      <alignment horizontal="center" vertical="center"/>
    </xf>
    <xf numFmtId="0" fontId="3" fillId="33" borderId="27" xfId="0" applyFont="1" applyFill="1" applyBorder="1" applyAlignment="1">
      <alignment vertical="center"/>
    </xf>
    <xf numFmtId="0" fontId="7" fillId="33" borderId="27" xfId="0" applyFont="1" applyFill="1" applyBorder="1" applyAlignment="1">
      <alignment vertical="center"/>
    </xf>
    <xf numFmtId="0" fontId="3" fillId="33" borderId="0" xfId="0" applyFont="1" applyFill="1" applyAlignment="1">
      <alignment vertical="center"/>
    </xf>
    <xf numFmtId="0" fontId="0" fillId="33" borderId="27" xfId="0" applyFont="1" applyFill="1" applyBorder="1" applyAlignment="1">
      <alignment horizontal="left" vertical="center"/>
    </xf>
    <xf numFmtId="0" fontId="0" fillId="33" borderId="36" xfId="0" applyFont="1" applyFill="1" applyBorder="1" applyAlignment="1">
      <alignment horizontal="left" vertical="center"/>
    </xf>
    <xf numFmtId="0" fontId="3" fillId="33" borderId="0" xfId="0" applyFont="1" applyFill="1" applyAlignment="1">
      <alignment horizontal="left" vertical="center"/>
    </xf>
    <xf numFmtId="0" fontId="0" fillId="33" borderId="5" xfId="0" applyFont="1" applyFill="1" applyBorder="1" applyAlignment="1">
      <alignment horizontal="center" vertical="center"/>
    </xf>
    <xf numFmtId="0" fontId="3" fillId="33" borderId="5" xfId="0" applyFont="1" applyFill="1" applyBorder="1" applyAlignment="1">
      <alignment vertical="center"/>
    </xf>
    <xf numFmtId="0" fontId="7" fillId="33" borderId="5" xfId="0" applyFont="1" applyFill="1" applyBorder="1" applyAlignment="1">
      <alignment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29" fillId="0" borderId="0" xfId="0" applyFont="1" applyBorder="1" applyAlignment="1">
      <alignment vertical="top"/>
    </xf>
    <xf numFmtId="0" fontId="0" fillId="33" borderId="0" xfId="0" applyFont="1" applyFill="1" applyAlignment="1">
      <alignment horizontal="center" vertical="center"/>
    </xf>
    <xf numFmtId="0" fontId="31" fillId="0" borderId="0" xfId="0" applyFont="1" applyBorder="1" applyAlignment="1" applyProtection="1">
      <alignment horizontal="center" vertical="center"/>
      <protection locked="0"/>
    </xf>
    <xf numFmtId="0" fontId="41" fillId="33" borderId="5" xfId="0" applyFont="1" applyFill="1" applyBorder="1" applyAlignment="1">
      <alignment horizontal="left" vertical="center"/>
    </xf>
    <xf numFmtId="0" fontId="36" fillId="0" borderId="0" xfId="0" applyFont="1" applyBorder="1" applyAlignment="1">
      <alignment horizontal="left" vertical="center"/>
    </xf>
    <xf numFmtId="0" fontId="31" fillId="0" borderId="0" xfId="0" applyFont="1" applyBorder="1" applyAlignment="1">
      <alignment horizontal="left" vertical="center"/>
    </xf>
    <xf numFmtId="0" fontId="3" fillId="33" borderId="47" xfId="0" applyFont="1" applyFill="1" applyBorder="1" applyAlignment="1">
      <alignment horizontal="left" vertical="center" wrapText="1"/>
    </xf>
    <xf numFmtId="0" fontId="3" fillId="33" borderId="89" xfId="0" applyFont="1" applyFill="1" applyBorder="1" applyAlignment="1">
      <alignment vertical="center"/>
    </xf>
    <xf numFmtId="0" fontId="0" fillId="33" borderId="89" xfId="0" applyFont="1" applyFill="1" applyBorder="1" applyAlignment="1">
      <alignment horizontal="left" vertical="center"/>
    </xf>
    <xf numFmtId="0" fontId="41" fillId="33" borderId="89" xfId="0" applyFont="1" applyFill="1" applyBorder="1" applyAlignment="1">
      <alignment horizontal="left" vertical="center"/>
    </xf>
    <xf numFmtId="0" fontId="0" fillId="33" borderId="90" xfId="0" applyFont="1" applyFill="1" applyBorder="1" applyAlignment="1">
      <alignment horizontal="left" vertical="center"/>
    </xf>
    <xf numFmtId="0" fontId="29" fillId="0" borderId="0" xfId="0" applyFont="1" applyBorder="1" applyAlignment="1">
      <alignment horizontal="left" vertical="center"/>
    </xf>
    <xf numFmtId="0" fontId="31" fillId="0" borderId="91" xfId="0" applyFont="1" applyBorder="1" applyAlignment="1" applyProtection="1">
      <alignment horizontal="center" vertical="center"/>
      <protection locked="0"/>
    </xf>
    <xf numFmtId="0" fontId="3" fillId="33" borderId="47" xfId="0" applyFont="1" applyFill="1" applyBorder="1" applyAlignment="1">
      <alignment horizontal="left" vertical="center" wrapText="1"/>
    </xf>
    <xf numFmtId="0" fontId="29" fillId="0" borderId="44" xfId="0" applyFont="1" applyBorder="1" applyAlignment="1">
      <alignment horizontal="left" vertical="center" wrapText="1"/>
    </xf>
    <xf numFmtId="0" fontId="31" fillId="0" borderId="35"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27" xfId="0" applyFont="1" applyFill="1" applyBorder="1" applyAlignment="1" applyProtection="1">
      <alignment horizontal="center" vertical="center"/>
      <protection locked="0"/>
    </xf>
    <xf numFmtId="0" fontId="29" fillId="0" borderId="41" xfId="0" applyFont="1" applyFill="1" applyBorder="1" applyAlignment="1">
      <alignment horizontal="left" vertical="center"/>
    </xf>
    <xf numFmtId="0" fontId="29" fillId="0" borderId="44" xfId="0" applyFont="1" applyFill="1" applyBorder="1" applyAlignment="1">
      <alignment horizontal="left" vertical="center"/>
    </xf>
    <xf numFmtId="0" fontId="29" fillId="0" borderId="29" xfId="0" applyFont="1" applyBorder="1" applyAlignment="1">
      <alignment horizontal="left" vertical="center"/>
    </xf>
    <xf numFmtId="0" fontId="3" fillId="0" borderId="44" xfId="0" applyFont="1" applyFill="1" applyBorder="1" applyAlignment="1">
      <alignment horizontal="left" vertical="center" wrapText="1"/>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25" xfId="0" applyFont="1" applyBorder="1" applyAlignment="1">
      <alignment vertical="center" wrapText="1"/>
    </xf>
    <xf numFmtId="0" fontId="29" fillId="0" borderId="48" xfId="0" applyFont="1" applyBorder="1" applyAlignment="1">
      <alignment vertical="center" wrapText="1"/>
    </xf>
    <xf numFmtId="0" fontId="31" fillId="0" borderId="35" xfId="0" applyFont="1" applyFill="1" applyBorder="1" applyAlignment="1" applyProtection="1">
      <alignment horizontal="center" vertical="center"/>
      <protection locked="0"/>
    </xf>
    <xf numFmtId="0" fontId="29" fillId="0" borderId="42" xfId="0" applyFont="1" applyFill="1" applyBorder="1" applyAlignment="1">
      <alignment horizontal="left" vertical="center"/>
    </xf>
    <xf numFmtId="0" fontId="31" fillId="0" borderId="3"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 fillId="0" borderId="29" xfId="0" applyFont="1" applyFill="1" applyBorder="1" applyAlignment="1">
      <alignment horizontal="left" vertical="center"/>
    </xf>
    <xf numFmtId="0" fontId="29" fillId="0" borderId="28" xfId="0" applyFont="1" applyBorder="1" applyAlignment="1">
      <alignment horizontal="left" vertical="center"/>
    </xf>
    <xf numFmtId="0" fontId="29" fillId="0" borderId="28" xfId="0" applyFont="1" applyBorder="1" applyAlignment="1">
      <alignment horizontal="left" vertical="center" wrapText="1"/>
    </xf>
    <xf numFmtId="0" fontId="29" fillId="0" borderId="17" xfId="0" applyFont="1" applyBorder="1" applyAlignment="1">
      <alignment horizontal="center" vertical="center"/>
    </xf>
    <xf numFmtId="0" fontId="29" fillId="0" borderId="46" xfId="0" applyFont="1" applyBorder="1" applyAlignment="1">
      <alignment horizontal="center"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0" fillId="0" borderId="27" xfId="0" applyFont="1" applyFill="1" applyBorder="1" applyAlignment="1" applyProtection="1">
      <alignment horizontal="center" vertical="center"/>
      <protection locked="0"/>
    </xf>
    <xf numFmtId="0" fontId="31" fillId="0" borderId="94" xfId="0" applyFont="1" applyBorder="1" applyAlignment="1" applyProtection="1">
      <alignment horizontal="center" vertical="center"/>
      <protection locked="0"/>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8"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Border="1" applyAlignment="1" applyProtection="1">
      <alignment horizontal="right" vertical="center" wrapText="1"/>
      <protection locked="0"/>
    </xf>
    <xf numFmtId="0" fontId="3" fillId="0" borderId="7"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29" fillId="0" borderId="25" xfId="0" applyFont="1" applyBorder="1" applyAlignment="1">
      <alignment horizontal="left" vertical="center" wrapText="1"/>
    </xf>
    <xf numFmtId="0" fontId="29" fillId="0" borderId="48" xfId="0" applyFont="1" applyBorder="1" applyAlignment="1">
      <alignment horizontal="left" vertical="center" wrapText="1"/>
    </xf>
    <xf numFmtId="0" fontId="29" fillId="0" borderId="44" xfId="0" applyFont="1" applyBorder="1" applyAlignment="1">
      <alignment horizontal="left" vertical="center" wrapText="1"/>
    </xf>
    <xf numFmtId="0" fontId="29" fillId="0" borderId="30" xfId="0" applyFont="1" applyBorder="1" applyAlignment="1">
      <alignment horizontal="left" vertical="center" wrapText="1"/>
    </xf>
    <xf numFmtId="0" fontId="31" fillId="0" borderId="0" xfId="0" applyFont="1" applyAlignment="1" applyProtection="1">
      <alignment horizontal="center" vertical="center" wrapText="1"/>
      <protection locked="0"/>
    </xf>
    <xf numFmtId="0" fontId="31" fillId="0" borderId="41" xfId="0" applyFont="1" applyBorder="1" applyAlignment="1" applyProtection="1">
      <alignment horizontal="center" vertical="center" wrapText="1"/>
      <protection locked="0"/>
    </xf>
    <xf numFmtId="0" fontId="29" fillId="0" borderId="0" xfId="0" applyFont="1" applyAlignment="1">
      <alignment horizontal="left" vertical="center"/>
    </xf>
    <xf numFmtId="0" fontId="29" fillId="0" borderId="41" xfId="0" applyFont="1" applyBorder="1" applyAlignment="1">
      <alignment horizontal="left"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46" xfId="0" applyFont="1" applyBorder="1" applyAlignment="1">
      <alignment horizontal="center" vertical="center"/>
    </xf>
    <xf numFmtId="0" fontId="29" fillId="0" borderId="25" xfId="0" applyFont="1" applyBorder="1" applyAlignment="1">
      <alignment horizontal="left" vertical="center"/>
    </xf>
    <xf numFmtId="0" fontId="29" fillId="0" borderId="48" xfId="0" applyFont="1" applyBorder="1" applyAlignment="1">
      <alignment horizontal="left" vertical="center"/>
    </xf>
    <xf numFmtId="0" fontId="31" fillId="0" borderId="27" xfId="0" applyFont="1" applyBorder="1" applyAlignment="1" applyProtection="1">
      <alignment horizontal="center" vertical="center" wrapText="1"/>
      <protection locked="0"/>
    </xf>
    <xf numFmtId="0" fontId="29" fillId="0" borderId="27" xfId="0" applyFont="1" applyBorder="1" applyAlignment="1">
      <alignment horizontal="left" vertical="center"/>
    </xf>
    <xf numFmtId="0" fontId="31" fillId="0" borderId="35"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27" xfId="0" applyFont="1" applyBorder="1" applyAlignment="1">
      <alignment horizontal="center" vertical="center"/>
    </xf>
    <xf numFmtId="0" fontId="31" fillId="0" borderId="41" xfId="0" applyFont="1" applyBorder="1" applyAlignment="1">
      <alignment horizontal="center" vertical="center"/>
    </xf>
    <xf numFmtId="0" fontId="3" fillId="33" borderId="30"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1" fillId="0" borderId="35" xfId="0"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29" fillId="0" borderId="92" xfId="0" applyFont="1" applyBorder="1" applyAlignment="1">
      <alignment horizontal="left" vertical="center" wrapText="1"/>
    </xf>
    <xf numFmtId="0" fontId="31" fillId="0" borderId="17"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31" fillId="0" borderId="33" xfId="0" applyFont="1" applyBorder="1" applyAlignment="1" applyProtection="1">
      <alignment horizontal="center" vertical="center" wrapText="1"/>
      <protection locked="0"/>
    </xf>
    <xf numFmtId="0" fontId="29" fillId="0" borderId="29" xfId="0" applyFont="1" applyBorder="1" applyAlignment="1">
      <alignment horizontal="left" vertical="center"/>
    </xf>
    <xf numFmtId="0" fontId="31" fillId="0" borderId="29" xfId="0" applyFont="1" applyBorder="1" applyAlignment="1" applyProtection="1">
      <alignment horizontal="center" vertical="center" wrapText="1"/>
      <protection locked="0"/>
    </xf>
    <xf numFmtId="0" fontId="29" fillId="0" borderId="45" xfId="0" applyFont="1" applyBorder="1" applyAlignment="1">
      <alignment horizontal="left" vertical="center"/>
    </xf>
    <xf numFmtId="0" fontId="29" fillId="0" borderId="28" xfId="0" applyFont="1" applyBorder="1" applyAlignment="1">
      <alignment horizontal="left"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93" xfId="0" applyFont="1" applyBorder="1" applyAlignment="1">
      <alignment horizontal="center" vertical="center"/>
    </xf>
    <xf numFmtId="0" fontId="29" fillId="0" borderId="28" xfId="0" applyFont="1" applyBorder="1" applyAlignment="1">
      <alignment horizontal="left" vertical="center" wrapText="1"/>
    </xf>
    <xf numFmtId="0" fontId="29" fillId="0" borderId="35" xfId="0" applyFont="1" applyBorder="1" applyAlignment="1">
      <alignment horizontal="left" vertical="center"/>
    </xf>
    <xf numFmtId="0" fontId="29" fillId="0" borderId="40" xfId="0" applyFont="1" applyBorder="1" applyAlignment="1">
      <alignment horizontal="left" vertical="center"/>
    </xf>
    <xf numFmtId="0" fontId="3" fillId="33" borderId="44"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3" fillId="0" borderId="25" xfId="0" applyFont="1" applyFill="1" applyBorder="1" applyAlignment="1">
      <alignment horizontal="left" vertical="center"/>
    </xf>
    <xf numFmtId="0" fontId="29" fillId="0" borderId="30" xfId="0" applyFont="1" applyBorder="1" applyAlignment="1">
      <alignment horizontal="left" vertical="center"/>
    </xf>
    <xf numFmtId="0" fontId="29" fillId="0" borderId="44" xfId="0" applyFont="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29" fillId="0" borderId="5" xfId="0" applyFont="1" applyBorder="1" applyAlignment="1">
      <alignment horizontal="left" vertical="center"/>
    </xf>
    <xf numFmtId="0" fontId="31" fillId="0" borderId="3" xfId="0" applyFont="1" applyBorder="1" applyAlignment="1" applyProtection="1">
      <alignment horizontal="center" vertical="center"/>
      <protection locked="0"/>
    </xf>
    <xf numFmtId="0" fontId="29" fillId="0" borderId="4" xfId="0" applyFont="1" applyBorder="1" applyAlignment="1">
      <alignment horizontal="left" vertical="center"/>
    </xf>
    <xf numFmtId="0" fontId="31" fillId="0" borderId="4" xfId="0" applyFont="1" applyBorder="1" applyAlignment="1" applyProtection="1">
      <alignment horizontal="center" vertical="center"/>
      <protection locked="0"/>
    </xf>
    <xf numFmtId="0" fontId="29" fillId="0" borderId="63" xfId="0" applyFont="1" applyBorder="1" applyAlignment="1">
      <alignment vertical="top"/>
    </xf>
    <xf numFmtId="0" fontId="0" fillId="0" borderId="64" xfId="0" applyBorder="1"/>
    <xf numFmtId="0" fontId="0" fillId="0" borderId="65" xfId="0" applyBorder="1"/>
    <xf numFmtId="0" fontId="0" fillId="0" borderId="63" xfId="0" applyBorder="1"/>
    <xf numFmtId="0" fontId="0" fillId="0" borderId="66" xfId="0" applyBorder="1"/>
    <xf numFmtId="0" fontId="0" fillId="0" borderId="67" xfId="0" applyBorder="1"/>
    <xf numFmtId="0" fontId="0" fillId="0" borderId="68" xfId="0" applyBorder="1"/>
    <xf numFmtId="0" fontId="29" fillId="0" borderId="47" xfId="0" applyFont="1" applyBorder="1" applyAlignment="1">
      <alignment horizontal="left" vertical="center" wrapText="1"/>
    </xf>
    <xf numFmtId="0" fontId="31" fillId="0" borderId="16"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29" fillId="0" borderId="30"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44"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31" fillId="0" borderId="35" xfId="0" applyFont="1" applyFill="1" applyBorder="1" applyAlignment="1" applyProtection="1">
      <alignment horizontal="center" vertical="center"/>
      <protection locked="0"/>
    </xf>
    <xf numFmtId="0" fontId="31" fillId="0" borderId="40" xfId="0" applyFont="1" applyFill="1" applyBorder="1" applyAlignment="1" applyProtection="1">
      <alignment horizontal="center" vertical="center"/>
      <protection locked="0"/>
    </xf>
    <xf numFmtId="0" fontId="29" fillId="0" borderId="27" xfId="0" applyFont="1" applyFill="1" applyBorder="1" applyAlignment="1">
      <alignment horizontal="left" vertical="center"/>
    </xf>
    <xf numFmtId="0" fontId="29" fillId="0" borderId="41" xfId="0" applyFont="1" applyFill="1" applyBorder="1" applyAlignment="1">
      <alignment horizontal="left" vertical="center"/>
    </xf>
    <xf numFmtId="0" fontId="31" fillId="0" borderId="27" xfId="0" applyFont="1" applyFill="1" applyBorder="1" applyAlignment="1" applyProtection="1">
      <alignment horizontal="center" vertical="center"/>
      <protection locked="0"/>
    </xf>
    <xf numFmtId="0" fontId="31" fillId="0" borderId="41" xfId="0" applyFont="1" applyFill="1" applyBorder="1" applyAlignment="1" applyProtection="1">
      <alignment horizontal="center" vertical="center"/>
      <protection locked="0"/>
    </xf>
    <xf numFmtId="0" fontId="29" fillId="0" borderId="25" xfId="0" applyFont="1" applyFill="1" applyBorder="1" applyAlignment="1">
      <alignment horizontal="left" vertical="center"/>
    </xf>
    <xf numFmtId="0" fontId="29" fillId="0" borderId="36" xfId="0" applyFont="1" applyBorder="1" applyAlignment="1">
      <alignment horizontal="left" vertical="center"/>
    </xf>
    <xf numFmtId="0" fontId="29" fillId="0" borderId="42" xfId="0" applyFont="1" applyBorder="1" applyAlignment="1">
      <alignment horizontal="left" vertical="center"/>
    </xf>
    <xf numFmtId="0" fontId="29" fillId="0" borderId="36" xfId="0" applyFont="1" applyFill="1" applyBorder="1" applyAlignment="1">
      <alignment horizontal="left" vertical="center"/>
    </xf>
    <xf numFmtId="0" fontId="29" fillId="0" borderId="42" xfId="0" applyFont="1" applyFill="1" applyBorder="1" applyAlignment="1">
      <alignment horizontal="left" vertical="center"/>
    </xf>
    <xf numFmtId="0" fontId="29" fillId="0" borderId="16" xfId="0" applyFont="1" applyBorder="1" applyAlignment="1">
      <alignment horizontal="center" vertical="center"/>
    </xf>
    <xf numFmtId="0" fontId="29" fillId="0" borderId="5" xfId="0" applyFont="1" applyBorder="1" applyAlignment="1">
      <alignment horizontal="center" vertical="center"/>
    </xf>
    <xf numFmtId="0" fontId="29" fillId="0" borderId="15" xfId="0" applyFont="1" applyBorder="1" applyAlignment="1">
      <alignment horizontal="center" vertical="center"/>
    </xf>
    <xf numFmtId="0" fontId="29" fillId="0" borderId="47" xfId="0" applyFont="1" applyBorder="1" applyAlignment="1">
      <alignment horizontal="left" vertical="center"/>
    </xf>
    <xf numFmtId="0" fontId="29" fillId="0" borderId="25" xfId="0" applyFont="1" applyBorder="1" applyAlignment="1">
      <alignment vertical="center" wrapText="1"/>
    </xf>
    <xf numFmtId="0" fontId="29" fillId="0" borderId="48" xfId="0" applyFont="1" applyBorder="1" applyAlignment="1">
      <alignment vertical="center" wrapText="1"/>
    </xf>
    <xf numFmtId="0" fontId="29" fillId="0" borderId="44" xfId="0" applyFont="1" applyBorder="1" applyAlignment="1">
      <alignment vertical="center" wrapText="1"/>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42"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48" xfId="0" applyFont="1" applyFill="1" applyBorder="1" applyAlignment="1">
      <alignment vertical="center" wrapText="1"/>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29" fillId="0" borderId="60" xfId="0" applyFont="1" applyBorder="1" applyAlignment="1">
      <alignment vertical="top"/>
    </xf>
    <xf numFmtId="0" fontId="0" fillId="0" borderId="61" xfId="0"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64" xfId="0" applyBorder="1" applyAlignment="1">
      <alignment vertical="top"/>
    </xf>
    <xf numFmtId="0" fontId="0" fillId="0" borderId="65" xfId="0" applyBorder="1" applyAlignment="1">
      <alignment vertical="top"/>
    </xf>
    <xf numFmtId="0" fontId="29" fillId="0" borderId="60" xfId="0" applyFont="1" applyBorder="1" applyAlignment="1">
      <alignment horizontal="center" vertical="top"/>
    </xf>
    <xf numFmtId="0" fontId="29" fillId="0" borderId="61" xfId="0" applyFont="1" applyBorder="1" applyAlignment="1">
      <alignment horizontal="center" vertical="top"/>
    </xf>
    <xf numFmtId="0" fontId="29" fillId="0" borderId="62" xfId="0" applyFont="1" applyBorder="1" applyAlignment="1">
      <alignment horizontal="center" vertical="top"/>
    </xf>
    <xf numFmtId="0" fontId="29" fillId="0" borderId="63" xfId="0" applyFont="1" applyBorder="1" applyAlignment="1">
      <alignment horizontal="center" vertical="top"/>
    </xf>
    <xf numFmtId="0" fontId="29" fillId="0" borderId="64" xfId="0" applyFont="1" applyBorder="1" applyAlignment="1">
      <alignment horizontal="center" vertical="top"/>
    </xf>
    <xf numFmtId="0" fontId="29" fillId="0" borderId="65" xfId="0" applyFont="1" applyBorder="1" applyAlignment="1">
      <alignment horizontal="center" vertical="top"/>
    </xf>
    <xf numFmtId="0" fontId="29" fillId="0" borderId="66" xfId="0" applyFont="1" applyBorder="1" applyAlignment="1">
      <alignment horizontal="center" vertical="top"/>
    </xf>
    <xf numFmtId="0" fontId="29" fillId="0" borderId="67" xfId="0" applyFont="1" applyBorder="1" applyAlignment="1">
      <alignment horizontal="center" vertical="top"/>
    </xf>
    <xf numFmtId="0" fontId="29" fillId="0" borderId="68" xfId="0" applyFont="1" applyBorder="1" applyAlignment="1">
      <alignment horizontal="center" vertical="top"/>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0" fillId="0" borderId="60" xfId="0" applyBorder="1" applyAlignment="1">
      <alignment horizontal="center" vertical="center"/>
    </xf>
    <xf numFmtId="0" fontId="29" fillId="0" borderId="30" xfId="0" applyFont="1" applyBorder="1" applyAlignment="1">
      <alignment vertical="center" wrapText="1"/>
    </xf>
    <xf numFmtId="0" fontId="29" fillId="0" borderId="47" xfId="0" applyFont="1" applyBorder="1" applyAlignment="1">
      <alignment vertical="center" wrapText="1"/>
    </xf>
    <xf numFmtId="0" fontId="3" fillId="0" borderId="47" xfId="0" applyFont="1" applyFill="1" applyBorder="1" applyAlignment="1">
      <alignmen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0" fillId="0" borderId="5" xfId="0" applyFont="1" applyFill="1" applyBorder="1" applyAlignment="1" applyProtection="1">
      <alignment horizontal="center" vertical="center" wrapText="1"/>
      <protection locked="0"/>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29" fillId="0" borderId="30" xfId="0" applyFont="1" applyBorder="1" applyAlignment="1">
      <alignment horizontal="left" vertical="center" shrinkToFit="1"/>
    </xf>
    <xf numFmtId="0" fontId="29" fillId="0" borderId="48" xfId="0" applyFont="1" applyBorder="1" applyAlignment="1">
      <alignment horizontal="left" vertical="center" shrinkToFit="1"/>
    </xf>
    <xf numFmtId="0" fontId="29" fillId="0" borderId="44" xfId="0" applyFont="1" applyBorder="1" applyAlignment="1">
      <alignment horizontal="left" vertical="center" shrinkToFit="1"/>
    </xf>
    <xf numFmtId="0" fontId="0" fillId="0" borderId="27" xfId="0" applyFont="1" applyFill="1" applyBorder="1" applyAlignment="1" applyProtection="1">
      <alignment horizontal="center" vertical="center"/>
      <protection locked="0"/>
    </xf>
    <xf numFmtId="0" fontId="31" fillId="0" borderId="27" xfId="0" applyFont="1" applyFill="1" applyBorder="1" applyAlignment="1" applyProtection="1">
      <alignment horizontal="center" vertical="center" wrapText="1"/>
      <protection locked="0"/>
    </xf>
    <xf numFmtId="0" fontId="31" fillId="0" borderId="41"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wrapText="1" shrinkToFit="1"/>
    </xf>
    <xf numFmtId="0" fontId="3" fillId="0" borderId="44" xfId="0" applyFont="1" applyFill="1" applyBorder="1" applyAlignment="1">
      <alignment horizontal="left" vertical="center" wrapText="1" shrinkToFit="1"/>
    </xf>
    <xf numFmtId="0" fontId="3" fillId="0" borderId="30"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29" fillId="0" borderId="30" xfId="0" applyFont="1" applyBorder="1" applyAlignment="1">
      <alignment horizontal="left" vertical="center" wrapText="1" shrinkToFit="1"/>
    </xf>
    <xf numFmtId="0" fontId="29" fillId="0" borderId="44" xfId="0" applyFont="1" applyBorder="1" applyAlignment="1">
      <alignment horizontal="left" vertical="center" wrapText="1" shrinkToFit="1"/>
    </xf>
    <xf numFmtId="0" fontId="29" fillId="0" borderId="30" xfId="0" applyFont="1" applyBorder="1" applyAlignment="1">
      <alignment vertical="center" wrapText="1" shrinkToFit="1"/>
    </xf>
    <xf numFmtId="0" fontId="29" fillId="0" borderId="47" xfId="0" applyFont="1" applyBorder="1" applyAlignment="1">
      <alignment vertical="center" wrapText="1" shrinkToFit="1"/>
    </xf>
    <xf numFmtId="0" fontId="3" fillId="0" borderId="72" xfId="0" applyFont="1" applyFill="1" applyBorder="1" applyAlignment="1">
      <alignment vertical="center" wrapText="1"/>
    </xf>
    <xf numFmtId="0" fontId="3" fillId="0" borderId="58" xfId="0" applyFont="1" applyFill="1" applyBorder="1" applyAlignment="1">
      <alignment horizontal="left" vertical="center"/>
    </xf>
    <xf numFmtId="0" fontId="0" fillId="0" borderId="58" xfId="0" applyFont="1" applyFill="1" applyBorder="1" applyAlignment="1" applyProtection="1">
      <alignment horizontal="center" vertical="center" wrapText="1"/>
      <protection locked="0"/>
    </xf>
    <xf numFmtId="0" fontId="29" fillId="0" borderId="27" xfId="0" applyFont="1" applyBorder="1" applyAlignment="1">
      <alignment horizontal="center" vertical="center"/>
    </xf>
    <xf numFmtId="0" fontId="29" fillId="0" borderId="41" xfId="0" applyFont="1" applyBorder="1" applyAlignment="1">
      <alignment horizontal="center" vertical="center"/>
    </xf>
    <xf numFmtId="0" fontId="29" fillId="0" borderId="35"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27" xfId="0" applyFont="1" applyBorder="1" applyAlignment="1" applyProtection="1">
      <alignment horizontal="center" vertical="center" wrapText="1"/>
      <protection locked="0"/>
    </xf>
    <xf numFmtId="0" fontId="29" fillId="0" borderId="41"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74"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48" xfId="0" applyFont="1" applyFill="1" applyBorder="1" applyAlignment="1">
      <alignment vertical="center"/>
    </xf>
    <xf numFmtId="0" fontId="3" fillId="33" borderId="16" xfId="0" applyFont="1" applyFill="1" applyBorder="1" applyAlignment="1">
      <alignment vertical="center"/>
    </xf>
    <xf numFmtId="0" fontId="3" fillId="0" borderId="16" xfId="0" applyFont="1" applyFill="1" applyBorder="1" applyAlignment="1">
      <alignment vertical="top"/>
    </xf>
    <xf numFmtId="0" fontId="31" fillId="0" borderId="0" xfId="0" applyFont="1" applyBorder="1" applyAlignment="1">
      <alignment vertical="center"/>
    </xf>
    <xf numFmtId="0" fontId="29" fillId="0" borderId="0" xfId="0" applyFont="1" applyBorder="1" applyAlignment="1">
      <alignment horizontal="left" vertical="center"/>
    </xf>
    <xf numFmtId="0" fontId="31" fillId="0" borderId="0" xfId="0" applyFont="1" applyBorder="1" applyAlignment="1" applyProtection="1">
      <alignment horizontal="center" vertical="center"/>
      <protection locked="0"/>
    </xf>
    <xf numFmtId="0" fontId="29" fillId="0" borderId="95" xfId="0" applyFont="1" applyBorder="1" applyAlignment="1">
      <alignment horizontal="left" vertical="center"/>
    </xf>
    <xf numFmtId="0" fontId="31" fillId="0" borderId="96" xfId="0" applyFont="1" applyBorder="1" applyAlignment="1" applyProtection="1">
      <alignment horizontal="center" vertical="center"/>
      <protection locked="0"/>
    </xf>
    <xf numFmtId="0" fontId="29" fillId="0" borderId="97" xfId="0" applyFont="1" applyBorder="1" applyAlignment="1">
      <alignment vertical="center"/>
    </xf>
    <xf numFmtId="0" fontId="31" fillId="0" borderId="97" xfId="0" applyFont="1" applyBorder="1" applyAlignment="1">
      <alignment vertical="center"/>
    </xf>
    <xf numFmtId="0" fontId="31" fillId="0" borderId="97" xfId="0" applyFont="1" applyBorder="1" applyAlignment="1" applyProtection="1">
      <alignment horizontal="center" vertical="center"/>
      <protection locked="0"/>
    </xf>
    <xf numFmtId="0" fontId="31" fillId="0" borderId="98" xfId="0" applyFont="1" applyBorder="1" applyAlignment="1">
      <alignment vertical="center"/>
    </xf>
    <xf numFmtId="0" fontId="29" fillId="0" borderId="0" xfId="0" applyFont="1" applyFill="1" applyBorder="1" applyAlignment="1">
      <alignment vertical="center"/>
    </xf>
    <xf numFmtId="0" fontId="29" fillId="0" borderId="47" xfId="0" applyFont="1" applyBorder="1" applyAlignment="1">
      <alignment vertical="center" shrinkToFit="1"/>
    </xf>
    <xf numFmtId="0" fontId="29" fillId="0" borderId="16" xfId="0" applyFont="1" applyBorder="1" applyAlignment="1">
      <alignment horizontal="left" vertical="center" shrinkToFit="1"/>
    </xf>
    <xf numFmtId="0" fontId="3" fillId="33" borderId="0" xfId="0" applyFont="1" applyFill="1" applyBorder="1" applyAlignment="1">
      <alignment vertical="center"/>
    </xf>
    <xf numFmtId="0" fontId="3" fillId="0" borderId="95" xfId="0" applyFont="1" applyFill="1" applyBorder="1" applyAlignment="1">
      <alignment horizontal="left" vertical="center"/>
    </xf>
    <xf numFmtId="0" fontId="0" fillId="0" borderId="96" xfId="0" applyFont="1" applyFill="1" applyBorder="1" applyAlignment="1" applyProtection="1">
      <alignment horizontal="center" vertical="center"/>
      <protection locked="0"/>
    </xf>
    <xf numFmtId="0" fontId="3" fillId="0" borderId="97" xfId="0" applyFont="1" applyFill="1" applyBorder="1" applyAlignment="1">
      <alignment vertical="center"/>
    </xf>
    <xf numFmtId="0" fontId="0" fillId="0" borderId="97" xfId="0" applyFont="1" applyFill="1" applyBorder="1" applyAlignment="1" applyProtection="1">
      <alignment horizontal="center" vertical="center"/>
      <protection locked="0"/>
    </xf>
    <xf numFmtId="0" fontId="0" fillId="0" borderId="97" xfId="0" applyFont="1" applyFill="1" applyBorder="1" applyAlignment="1">
      <alignment horizontal="left" vertical="center"/>
    </xf>
    <xf numFmtId="0" fontId="0" fillId="0" borderId="97" xfId="0" applyFont="1" applyFill="1" applyBorder="1" applyAlignment="1">
      <alignment vertical="center"/>
    </xf>
    <xf numFmtId="0" fontId="0" fillId="0" borderId="98" xfId="0" applyFont="1" applyFill="1" applyBorder="1" applyAlignment="1">
      <alignment vertical="center"/>
    </xf>
    <xf numFmtId="0" fontId="3" fillId="0" borderId="44"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31" fillId="0" borderId="97" xfId="0" applyFont="1" applyBorder="1" applyAlignment="1">
      <alignment horizontal="left" vertical="center"/>
    </xf>
    <xf numFmtId="0" fontId="31" fillId="0" borderId="98" xfId="0" applyFont="1" applyBorder="1" applyAlignment="1">
      <alignment horizontal="left" vertical="center"/>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3" fillId="33" borderId="48" xfId="0" applyFont="1" applyFill="1" applyBorder="1" applyAlignment="1">
      <alignment horizontal="left" vertical="center" wrapText="1"/>
    </xf>
    <xf numFmtId="0" fontId="0" fillId="33" borderId="0" xfId="0" applyFont="1" applyFill="1" applyBorder="1" applyAlignment="1">
      <alignment horizontal="center" vertical="center"/>
    </xf>
    <xf numFmtId="0" fontId="7" fillId="33" borderId="0" xfId="0" applyFont="1" applyFill="1" applyBorder="1" applyAlignment="1">
      <alignment vertical="center"/>
    </xf>
    <xf numFmtId="0" fontId="0" fillId="33" borderId="0" xfId="0" applyFont="1" applyFill="1" applyBorder="1" applyAlignment="1">
      <alignment horizontal="left" vertical="center"/>
    </xf>
    <xf numFmtId="0" fontId="0" fillId="33" borderId="46" xfId="0" applyFont="1" applyFill="1" applyBorder="1" applyAlignment="1">
      <alignment horizontal="left" vertical="center"/>
    </xf>
    <xf numFmtId="0" fontId="29" fillId="0" borderId="0" xfId="0" applyFont="1" applyBorder="1" applyAlignment="1">
      <alignment horizontal="center" vertical="center"/>
    </xf>
    <xf numFmtId="0" fontId="31" fillId="0" borderId="16"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29" fillId="0" borderId="0" xfId="0" applyFont="1" applyBorder="1" applyAlignment="1">
      <alignment horizontal="center" vertical="center" wrapText="1"/>
    </xf>
    <xf numFmtId="0" fontId="3" fillId="33" borderId="99" xfId="0" applyFont="1" applyFill="1" applyBorder="1" applyAlignment="1">
      <alignment horizontal="left" vertical="center" wrapText="1"/>
    </xf>
    <xf numFmtId="0" fontId="31" fillId="0" borderId="96" xfId="0"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Fill="1" applyBorder="1" applyAlignment="1">
      <alignment horizontal="left" vertical="center"/>
    </xf>
    <xf numFmtId="0" fontId="3" fillId="33" borderId="41" xfId="0" applyFont="1" applyFill="1" applyBorder="1" applyAlignment="1">
      <alignment vertical="center"/>
    </xf>
    <xf numFmtId="0" fontId="31" fillId="0" borderId="0" xfId="0" applyFont="1" applyFill="1" applyBorder="1" applyAlignment="1" applyProtection="1">
      <alignment horizontal="center" vertical="center"/>
      <protection locked="0"/>
    </xf>
    <xf numFmtId="0" fontId="29" fillId="0" borderId="0" xfId="0" applyFont="1" applyFill="1" applyBorder="1" applyAlignment="1">
      <alignment horizontal="left" vertical="center" wrapText="1"/>
    </xf>
    <xf numFmtId="0" fontId="0" fillId="34" borderId="38" xfId="0" applyFont="1" applyFill="1" applyBorder="1" applyAlignment="1" applyProtection="1">
      <alignment horizontal="center" vertical="center"/>
      <protection locked="0"/>
    </xf>
    <xf numFmtId="0" fontId="31" fillId="34" borderId="27" xfId="0" applyFont="1" applyFill="1" applyBorder="1" applyAlignment="1" applyProtection="1">
      <alignment horizontal="center" vertical="center"/>
      <protection locked="0"/>
    </xf>
    <xf numFmtId="0" fontId="31" fillId="34" borderId="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22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D80B95E5-CBCD-F383-5F09-BC150CAE91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2D10CB85-0981-932F-289E-8DE47BCFAC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AFBF85A3-FF57-E26B-AD20-11D791A684F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443A977-BC12-3275-A7EE-5611099A6F3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11BB23A3-3218-15EC-135D-C3F84393F8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52864689-100C-DC36-AEA1-9B15ACD3917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601E186-A91D-71F4-FF41-3E358B8FFF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565EC7D-C6E6-4FDC-01BB-59BA5DDA522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1A76812-33CA-99AE-DB26-8FFBDF4DB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92ED4C4-DE3D-C94F-DD53-2691E3CCEB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981E46D8-5763-D638-3DD9-ABFAC12ADB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F6F6272-0913-D49B-D238-F02E4E50051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DE59FE74-718B-79F0-612A-AD73776EE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26C5EAA-3247-DEA4-2DC4-51D8F912F19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55FF759D-54D7-48AB-FB96-F67152FB41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45A9BFFD-80FE-98AA-22D3-B5635ADFF73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467EDA0-B2A4-D28A-C13A-CA1CE0A578F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E137D4-44B7-4DD6-FD78-85E41E401FD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FE4BC83-6BB5-9CCF-FFA7-A508F1D7F58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09B61F9-8393-634C-5F93-C76D6D8621C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44858B7-4C25-081F-DF14-6A1F23C00C23}"/>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780052C-810F-73A6-3D8D-D863C3FB727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D835E37-69FD-74B0-21E1-B3F473E7552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89A83B2-46D3-AC47-73EF-E6C0C056B6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545AA45-73DB-492D-9654-AB3FBF1444B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B4334633-FB87-3D5C-56B2-F95CED5F7DC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BAE34A-A657-DA91-6F8D-05696ED1794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DBF4CD4B-FAC5-1C4A-F000-440947191D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0A362C2-AB70-6F0D-F1DF-4D77A251B9A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32D1DF4-9274-467B-9D41-1F75F5B4457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EB8B6CD0-2C9F-AE98-E9C4-9E851B1D93E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B65C6411-68F3-0188-9710-888928E2A76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79881CC-C688-3F98-8C5A-2B4CC393508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F93B7D3-3FE9-1E12-B588-AD04C8F5832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421DF58-E5FA-2210-6FE6-AB65D227130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A9672C5-DE29-1D7F-99E4-00617393CE0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032C82F-4E2A-8ACA-4DEB-3B616EEBD7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2E5E164-B23D-BB46-286F-F72039CB3B4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11ADF00-7474-3E25-A3D8-1E26DCEC641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C459133-4F3F-178C-7F9B-5A2AA72F2A6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D37B1B11-6676-8FE8-B511-E69F33DCBF8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7F34372B-C757-8BE5-443B-8C1CFDBC5DA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2F4EB7-2216-EE05-7339-DDFC5B0C171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F2C0179-43C9-E1EF-6739-1DAB0A0191E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6069A50-A2BF-5668-B728-A47C9BD6565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D51ED40E-474E-BFC0-0F0C-7FA1CE09C43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A7F131-ED70-69E5-91D2-0155B19801D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5728E94-C3AA-12DB-A584-88382803F6A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7AE54F4-D4A1-98C7-6E31-DEB4D71CBCE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33186D68-FC9C-347F-E9A9-7E6043295A5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3E118837-109A-492C-0553-5E5BDC46EB9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A6174425-9F4C-A7AA-2BAB-3F4391F0A28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19198D06-4C70-4AC4-7470-1DC352C5EBB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4DCF7949-657A-6577-5076-7BAAE55747F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C77391A4-23AF-2BD2-0FB1-49E5874C270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9F50712E-D92B-2D45-C7DA-E693A80857D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062C3303-D48C-7B83-D9AF-BF23CAD885F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38FDDE80-096C-A8AE-AD96-F196A5D260A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9C4935D-1A92-7A3B-84E5-00A405001BF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699A3F2E-B02D-3356-064E-2A9302CE7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47FD8EB-85E2-2914-B33A-6B506FDE81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0A1373-D7AB-D57D-261B-23BA8D4EEF8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5437D8A-D71D-D6D3-4C1E-26B2F042CE1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3A466EDE-CCDB-B7CD-FD26-C2DF0248EEC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AEF80BC-3704-9FAF-B449-8A8BF2F14E4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FC684A4-9425-85C9-1140-B3D9C545A31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CF448AF0-A92E-567B-F3A4-6F26C53771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9A02755C-2BE9-90D5-D9FA-0BB1E5C5002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DCF9F9E6-B580-6F50-AE8D-4A90F0AB8B7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62ECE68-9700-02EB-FF13-E035829D51B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5177794-2671-1EA5-8FC2-FD5286BA22C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4E4E2042-AE7A-8AFE-1DF4-83C1AFE707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C12216A-9A9F-2391-1BC0-6F9F700CBF1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ED4E7253-3232-F4C8-50E0-244B10F7814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99708CB6-0F1C-8EA5-B1F3-5C47D52367D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BCF31168-913D-8F54-EA80-872FCC60DB5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1909AA98-4F05-A1B9-7F2D-31CAA344013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B499478D-E90C-2221-B1EE-FDBE5A4C937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18FAAFC0-947E-C33E-76A0-E43DCC5FBE5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C70150EF-F34E-5640-9CD0-D1CCE2AF6F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259FA3BA-F31B-1865-4A27-0ED33AF4DD6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83D234D-E065-C8AD-50B9-EE5CDF7B251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D0EF4775-EEF9-EA04-80A1-82D69172D19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C514B70B-AE55-6EF3-CE58-7225D25C853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3A97B1A0-E249-D988-1400-ABF7D7CBC99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AB97389-08DA-7B25-BFAA-B06FB582ABE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A704A21E-69ED-CA0A-A5DD-6849E884B2F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A7AA8A14-E009-F1CE-8970-0794F7A45B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A674A4A9-48BA-FF38-D176-9B05CC3A179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002EBE57-3A53-8216-9EB0-EEA194C5EC8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4F04468A-E0C5-9EA9-C999-FCDFB58F6D5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3019544-BE31-45E2-D2BC-CD2EC126F6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1152"/>
  <sheetViews>
    <sheetView tabSelected="1" view="pageBreakPreview" topLeftCell="A1022" zoomScale="70" zoomScaleNormal="75" zoomScaleSheetLayoutView="70" workbookViewId="0">
      <selection activeCell="T1142" sqref="T1142"/>
    </sheetView>
  </sheetViews>
  <sheetFormatPr defaultColWidth="9" defaultRowHeight="13.2"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08" customWidth="1"/>
    <col min="8" max="8" width="33.88671875" style="108" customWidth="1"/>
    <col min="9" max="24" width="5.33203125" style="108" customWidth="1"/>
    <col min="25" max="32" width="4.88671875" style="108" customWidth="1"/>
    <col min="33" max="38" width="0" style="109" hidden="1" customWidth="1"/>
    <col min="39" max="51" width="0" style="108" hidden="1" customWidth="1"/>
    <col min="52" max="16384" width="9" style="108"/>
  </cols>
  <sheetData>
    <row r="2" spans="1:38" ht="20.25" customHeight="1" x14ac:dyDescent="0.2">
      <c r="A2" s="106" t="s">
        <v>782</v>
      </c>
      <c r="B2" s="107"/>
    </row>
    <row r="3" spans="1:38" ht="20.25" customHeight="1" x14ac:dyDescent="0.2">
      <c r="A3" s="681" t="s">
        <v>27</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row>
    <row r="4" spans="1:38" ht="20.25" customHeight="1" x14ac:dyDescent="0.2"/>
    <row r="5" spans="1:38" s="343" customFormat="1" ht="30" customHeight="1" x14ac:dyDescent="0.2">
      <c r="A5" s="685" t="s">
        <v>787</v>
      </c>
      <c r="B5" s="686"/>
      <c r="C5" s="686"/>
      <c r="D5" s="686"/>
      <c r="E5" s="687"/>
      <c r="F5" s="685" t="s">
        <v>788</v>
      </c>
      <c r="G5" s="686"/>
      <c r="H5" s="686"/>
      <c r="I5" s="686"/>
      <c r="J5" s="687"/>
      <c r="K5" s="688" t="s">
        <v>789</v>
      </c>
      <c r="L5" s="689"/>
      <c r="M5" s="689"/>
      <c r="N5" s="689"/>
      <c r="O5" s="689"/>
      <c r="P5" s="689"/>
      <c r="Q5" s="689"/>
      <c r="R5" s="690"/>
      <c r="S5" s="682" t="s">
        <v>84</v>
      </c>
      <c r="T5" s="683"/>
      <c r="U5" s="683"/>
      <c r="V5" s="684"/>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6" spans="1:38" ht="20.25" customHeight="1" x14ac:dyDescent="0.2"/>
    <row r="7" spans="1:38" ht="17.25" customHeight="1" x14ac:dyDescent="0.2">
      <c r="A7" s="682" t="s">
        <v>213</v>
      </c>
      <c r="B7" s="683"/>
      <c r="C7" s="684"/>
      <c r="D7" s="682" t="s">
        <v>1</v>
      </c>
      <c r="E7" s="684"/>
      <c r="F7" s="682" t="s">
        <v>86</v>
      </c>
      <c r="G7" s="684"/>
      <c r="H7" s="682" t="s">
        <v>179</v>
      </c>
      <c r="I7" s="683"/>
      <c r="J7" s="683"/>
      <c r="K7" s="683"/>
      <c r="L7" s="683"/>
      <c r="M7" s="683"/>
      <c r="N7" s="683"/>
      <c r="O7" s="683"/>
      <c r="P7" s="683"/>
      <c r="Q7" s="683"/>
      <c r="R7" s="683"/>
      <c r="S7" s="683"/>
      <c r="T7" s="683"/>
      <c r="U7" s="683"/>
      <c r="V7" s="683"/>
      <c r="W7" s="683"/>
      <c r="X7" s="684"/>
      <c r="Y7" s="682" t="s">
        <v>227</v>
      </c>
      <c r="Z7" s="683"/>
      <c r="AA7" s="683"/>
      <c r="AB7" s="684"/>
      <c r="AC7" s="682" t="s">
        <v>87</v>
      </c>
      <c r="AD7" s="683"/>
      <c r="AE7" s="683"/>
      <c r="AF7" s="684"/>
    </row>
    <row r="8" spans="1:38" ht="18.75" customHeight="1" x14ac:dyDescent="0.2">
      <c r="A8" s="699" t="s">
        <v>88</v>
      </c>
      <c r="B8" s="700"/>
      <c r="C8" s="701"/>
      <c r="D8" s="699"/>
      <c r="E8" s="701"/>
      <c r="F8" s="699"/>
      <c r="G8" s="701"/>
      <c r="H8" s="705" t="s">
        <v>89</v>
      </c>
      <c r="I8" s="118" t="s">
        <v>383</v>
      </c>
      <c r="J8" s="119" t="s">
        <v>238</v>
      </c>
      <c r="K8" s="120"/>
      <c r="L8" s="120"/>
      <c r="M8" s="118" t="s">
        <v>383</v>
      </c>
      <c r="N8" s="119" t="s">
        <v>239</v>
      </c>
      <c r="O8" s="120"/>
      <c r="P8" s="120"/>
      <c r="Q8" s="118" t="s">
        <v>383</v>
      </c>
      <c r="R8" s="119" t="s">
        <v>240</v>
      </c>
      <c r="S8" s="120"/>
      <c r="T8" s="120"/>
      <c r="U8" s="118" t="s">
        <v>781</v>
      </c>
      <c r="V8" s="119" t="s">
        <v>241</v>
      </c>
      <c r="W8" s="120"/>
      <c r="X8" s="121"/>
      <c r="Y8" s="675"/>
      <c r="Z8" s="676"/>
      <c r="AA8" s="676"/>
      <c r="AB8" s="677"/>
      <c r="AC8" s="675"/>
      <c r="AD8" s="676"/>
      <c r="AE8" s="676"/>
      <c r="AF8" s="677"/>
      <c r="AG8" s="109" t="str">
        <f>"tiikikbn_code:"&amp; IF(I8="■",1,IF(M8="■",6,IF(Q8="■",7,IF(U8="■",2,IF(I9="■",3,IF(M9="■",4,IF(Q9="■",9,IF(U9="■",5,0))))))))</f>
        <v>tiikikbn_code:2</v>
      </c>
    </row>
    <row r="9" spans="1:38" ht="18.75" customHeight="1" x14ac:dyDescent="0.2">
      <c r="A9" s="702"/>
      <c r="B9" s="703"/>
      <c r="C9" s="704"/>
      <c r="D9" s="702"/>
      <c r="E9" s="704"/>
      <c r="F9" s="702"/>
      <c r="G9" s="704"/>
      <c r="H9" s="706"/>
      <c r="I9" s="125" t="s">
        <v>383</v>
      </c>
      <c r="J9" s="126" t="s">
        <v>242</v>
      </c>
      <c r="K9" s="127"/>
      <c r="L9" s="127"/>
      <c r="M9" s="118" t="s">
        <v>383</v>
      </c>
      <c r="N9" s="126" t="s">
        <v>243</v>
      </c>
      <c r="O9" s="127"/>
      <c r="P9" s="127"/>
      <c r="Q9" s="118" t="s">
        <v>383</v>
      </c>
      <c r="R9" s="126" t="s">
        <v>244</v>
      </c>
      <c r="S9" s="127"/>
      <c r="T9" s="127"/>
      <c r="U9" s="118" t="s">
        <v>383</v>
      </c>
      <c r="V9" s="126" t="s">
        <v>245</v>
      </c>
      <c r="W9" s="127"/>
      <c r="X9" s="128"/>
      <c r="Y9" s="678"/>
      <c r="Z9" s="679"/>
      <c r="AA9" s="679"/>
      <c r="AB9" s="680"/>
      <c r="AC9" s="678"/>
      <c r="AD9" s="679"/>
      <c r="AE9" s="679"/>
      <c r="AF9" s="680"/>
    </row>
    <row r="10" spans="1:38" ht="18.75" customHeight="1" x14ac:dyDescent="0.2">
      <c r="A10" s="129"/>
      <c r="B10" s="116"/>
      <c r="C10" s="130"/>
      <c r="D10" s="131"/>
      <c r="E10" s="121"/>
      <c r="F10" s="132"/>
      <c r="G10" s="133"/>
      <c r="H10" s="691" t="s">
        <v>134</v>
      </c>
      <c r="I10" s="134" t="s">
        <v>383</v>
      </c>
      <c r="J10" s="119" t="s">
        <v>248</v>
      </c>
      <c r="K10" s="135"/>
      <c r="L10" s="135"/>
      <c r="M10" s="135"/>
      <c r="N10" s="135"/>
      <c r="O10" s="135"/>
      <c r="P10" s="135"/>
      <c r="Q10" s="135"/>
      <c r="R10" s="135"/>
      <c r="S10" s="135"/>
      <c r="T10" s="135"/>
      <c r="U10" s="135"/>
      <c r="V10" s="135"/>
      <c r="W10" s="135"/>
      <c r="X10" s="136"/>
      <c r="Y10" s="134" t="s">
        <v>383</v>
      </c>
      <c r="Z10" s="119" t="s">
        <v>249</v>
      </c>
      <c r="AA10" s="119"/>
      <c r="AB10" s="137"/>
      <c r="AC10" s="138" t="s">
        <v>383</v>
      </c>
      <c r="AD10" s="119" t="s">
        <v>249</v>
      </c>
      <c r="AE10" s="119"/>
      <c r="AF10" s="137"/>
      <c r="AG10" s="109" t="str">
        <f>"ser_code = '" &amp; IF(A22="■",11,"") &amp; "'"</f>
        <v>ser_code = ''</v>
      </c>
      <c r="AI10" s="109" t="str">
        <f>"11:sintaikaigo_taisei_code:" &amp; IF(Y10="■",1,IF(Y11="■",2,IF(I12="■",3,0)))</f>
        <v>11:sintaikaigo_taisei_code:0</v>
      </c>
      <c r="AJ10" s="109" t="str">
        <f>"11:field203:" &amp; IF(Y10="■",1,IF(Y11="■",2,0))</f>
        <v>11:field203:0</v>
      </c>
      <c r="AK10" s="109" t="str">
        <f>"11:waribiki_code:" &amp; IF(AC10="■",1,IF(AC11="■",2,0))</f>
        <v>11:waribiki_code:0</v>
      </c>
    </row>
    <row r="11" spans="1:38" ht="18.75" customHeight="1" x14ac:dyDescent="0.2">
      <c r="A11" s="139"/>
      <c r="B11" s="123"/>
      <c r="C11" s="140"/>
      <c r="D11" s="141"/>
      <c r="E11" s="128"/>
      <c r="F11" s="142"/>
      <c r="G11" s="143"/>
      <c r="H11" s="692"/>
      <c r="I11" s="118" t="s">
        <v>383</v>
      </c>
      <c r="J11" s="108" t="s">
        <v>246</v>
      </c>
      <c r="K11" s="145"/>
      <c r="L11" s="145"/>
      <c r="M11" s="145"/>
      <c r="N11" s="145"/>
      <c r="O11" s="145"/>
      <c r="P11" s="145"/>
      <c r="Q11" s="145"/>
      <c r="R11" s="145"/>
      <c r="S11" s="145"/>
      <c r="T11" s="145"/>
      <c r="U11" s="145"/>
      <c r="V11" s="145"/>
      <c r="W11" s="145"/>
      <c r="X11" s="146"/>
      <c r="Y11" s="118" t="s">
        <v>383</v>
      </c>
      <c r="Z11" s="126" t="s">
        <v>255</v>
      </c>
      <c r="AA11" s="147"/>
      <c r="AB11" s="148"/>
      <c r="AC11" s="125" t="s">
        <v>383</v>
      </c>
      <c r="AD11" s="126" t="s">
        <v>255</v>
      </c>
      <c r="AE11" s="147"/>
      <c r="AF11" s="148"/>
      <c r="AG11" s="109" t="str">
        <f>"11:sisetukbn_code:" &amp; IF(AND(D21="■",D22="■",D23="■"),"1;2;3",IF(AND(D21="■",D22="■"),"1;2",0))</f>
        <v>11:sisetukbn_code:0</v>
      </c>
    </row>
    <row r="12" spans="1:38" ht="18.75" customHeight="1" x14ac:dyDescent="0.2">
      <c r="A12" s="139"/>
      <c r="B12" s="123"/>
      <c r="C12" s="140"/>
      <c r="D12" s="141"/>
      <c r="E12" s="128"/>
      <c r="F12" s="142"/>
      <c r="G12" s="143"/>
      <c r="H12" s="693"/>
      <c r="I12" s="150" t="s">
        <v>383</v>
      </c>
      <c r="J12" s="151" t="s">
        <v>247</v>
      </c>
      <c r="K12" s="152"/>
      <c r="L12" s="152"/>
      <c r="M12" s="152"/>
      <c r="N12" s="152"/>
      <c r="O12" s="152"/>
      <c r="P12" s="152"/>
      <c r="Q12" s="152"/>
      <c r="R12" s="152"/>
      <c r="S12" s="152"/>
      <c r="T12" s="152"/>
      <c r="U12" s="152"/>
      <c r="V12" s="152"/>
      <c r="W12" s="152"/>
      <c r="X12" s="153"/>
      <c r="Y12" s="154"/>
      <c r="Z12" s="147"/>
      <c r="AA12" s="147"/>
      <c r="AB12" s="148"/>
      <c r="AC12" s="154"/>
      <c r="AD12" s="147"/>
      <c r="AE12" s="147"/>
      <c r="AF12" s="148"/>
    </row>
    <row r="13" spans="1:38" s="109" customFormat="1" ht="19.5" customHeight="1" x14ac:dyDescent="0.2">
      <c r="A13" s="139"/>
      <c r="B13" s="123"/>
      <c r="C13" s="140"/>
      <c r="D13" s="141"/>
      <c r="E13" s="128"/>
      <c r="F13" s="142"/>
      <c r="G13" s="143"/>
      <c r="H13" s="155" t="s">
        <v>430</v>
      </c>
      <c r="I13" s="156" t="s">
        <v>383</v>
      </c>
      <c r="J13" s="157" t="s">
        <v>395</v>
      </c>
      <c r="K13" s="158"/>
      <c r="L13" s="159"/>
      <c r="M13" s="160" t="s">
        <v>383</v>
      </c>
      <c r="N13" s="157" t="s">
        <v>431</v>
      </c>
      <c r="O13" s="161"/>
      <c r="P13" s="157"/>
      <c r="Q13" s="162"/>
      <c r="R13" s="162"/>
      <c r="S13" s="162"/>
      <c r="T13" s="162"/>
      <c r="U13" s="162"/>
      <c r="V13" s="162"/>
      <c r="W13" s="162"/>
      <c r="X13" s="163"/>
      <c r="Y13" s="147"/>
      <c r="Z13" s="147"/>
      <c r="AA13" s="147"/>
      <c r="AB13" s="148"/>
      <c r="AC13" s="154"/>
      <c r="AD13" s="147"/>
      <c r="AE13" s="147"/>
      <c r="AF13" s="148"/>
      <c r="AI13" s="109" t="str">
        <f>"11:field223:" &amp; IF(I13="■",1,IF(M13="■",2,0))</f>
        <v>11:field223:0</v>
      </c>
    </row>
    <row r="14" spans="1:38" s="109" customFormat="1" ht="19.5" customHeight="1" x14ac:dyDescent="0.2">
      <c r="A14" s="139"/>
      <c r="B14" s="123"/>
      <c r="C14" s="140"/>
      <c r="D14" s="141"/>
      <c r="E14" s="128"/>
      <c r="F14" s="142"/>
      <c r="G14" s="143"/>
      <c r="H14" s="348" t="s">
        <v>448</v>
      </c>
      <c r="I14" s="349" t="s">
        <v>383</v>
      </c>
      <c r="J14" s="350" t="s">
        <v>395</v>
      </c>
      <c r="K14" s="351"/>
      <c r="L14" s="352"/>
      <c r="M14" s="353" t="s">
        <v>383</v>
      </c>
      <c r="N14" s="350" t="s">
        <v>431</v>
      </c>
      <c r="O14" s="354"/>
      <c r="P14" s="350"/>
      <c r="Q14" s="355"/>
      <c r="R14" s="355"/>
      <c r="S14" s="355"/>
      <c r="T14" s="355"/>
      <c r="U14" s="355"/>
      <c r="V14" s="355"/>
      <c r="W14" s="355"/>
      <c r="X14" s="356"/>
      <c r="Y14" s="147"/>
      <c r="Z14" s="147"/>
      <c r="AA14" s="147"/>
      <c r="AB14" s="148"/>
      <c r="AC14" s="105"/>
      <c r="AD14" s="2"/>
      <c r="AE14" s="92"/>
      <c r="AF14" s="102"/>
      <c r="AI14" s="109" t="str">
        <f>"11:field232:" &amp; IF(I14="■",1,IF(M14="■",2,0))</f>
        <v>11:field232:0</v>
      </c>
    </row>
    <row r="15" spans="1:38" s="109" customFormat="1" ht="18.75" customHeight="1" x14ac:dyDescent="0.2">
      <c r="A15" s="139"/>
      <c r="B15" s="123"/>
      <c r="C15" s="140"/>
      <c r="D15" s="141"/>
      <c r="E15" s="128"/>
      <c r="F15" s="142"/>
      <c r="G15" s="143"/>
      <c r="H15" s="164" t="s">
        <v>228</v>
      </c>
      <c r="I15" s="156" t="s">
        <v>383</v>
      </c>
      <c r="J15" s="157" t="s">
        <v>250</v>
      </c>
      <c r="K15" s="157"/>
      <c r="L15" s="160" t="s">
        <v>383</v>
      </c>
      <c r="M15" s="157" t="s">
        <v>251</v>
      </c>
      <c r="N15" s="157"/>
      <c r="O15" s="160" t="s">
        <v>383</v>
      </c>
      <c r="P15" s="157" t="s">
        <v>252</v>
      </c>
      <c r="Q15" s="157"/>
      <c r="R15" s="160" t="s">
        <v>383</v>
      </c>
      <c r="S15" s="157" t="s">
        <v>253</v>
      </c>
      <c r="T15" s="157"/>
      <c r="U15" s="160" t="s">
        <v>383</v>
      </c>
      <c r="V15" s="157" t="s">
        <v>254</v>
      </c>
      <c r="W15" s="157"/>
      <c r="X15" s="165"/>
      <c r="Y15" s="154"/>
      <c r="Z15" s="147"/>
      <c r="AA15" s="147"/>
      <c r="AB15" s="148"/>
      <c r="AC15" s="154"/>
      <c r="AD15" s="147"/>
      <c r="AE15" s="147"/>
      <c r="AF15" s="148"/>
      <c r="AI15" s="109" t="str">
        <f>"11:tokujigyou_code:" &amp; IF(I15="■",1,IF(L15="■",2,IF(O15="■",3,IF(R15="■",4,IF(U15="■",5,0)))))</f>
        <v>11:tokujigyou_code:0</v>
      </c>
    </row>
    <row r="16" spans="1:38" s="109" customFormat="1" ht="18.75" customHeight="1" x14ac:dyDescent="0.2">
      <c r="A16" s="139"/>
      <c r="B16" s="123"/>
      <c r="C16" s="140"/>
      <c r="D16" s="141"/>
      <c r="E16" s="128"/>
      <c r="F16" s="142"/>
      <c r="G16" s="143"/>
      <c r="H16" s="164" t="s">
        <v>212</v>
      </c>
      <c r="I16" s="156" t="s">
        <v>383</v>
      </c>
      <c r="J16" s="157" t="s">
        <v>250</v>
      </c>
      <c r="K16" s="158"/>
      <c r="L16" s="160" t="s">
        <v>383</v>
      </c>
      <c r="M16" s="157" t="s">
        <v>267</v>
      </c>
      <c r="N16" s="158"/>
      <c r="O16" s="158"/>
      <c r="P16" s="158"/>
      <c r="Q16" s="158"/>
      <c r="R16" s="158"/>
      <c r="S16" s="158"/>
      <c r="T16" s="158"/>
      <c r="U16" s="158"/>
      <c r="V16" s="158"/>
      <c r="W16" s="158"/>
      <c r="X16" s="166"/>
      <c r="Y16" s="154"/>
      <c r="Z16" s="147"/>
      <c r="AA16" s="147"/>
      <c r="AB16" s="148"/>
      <c r="AC16" s="154"/>
      <c r="AD16" s="147"/>
      <c r="AE16" s="147"/>
      <c r="AF16" s="148"/>
      <c r="AI16" s="109" t="str">
        <f>"11:field220:" &amp; IF(I16="■",1,IF(L16="■",2,0))</f>
        <v>11:field220:0</v>
      </c>
    </row>
    <row r="17" spans="1:35" s="109" customFormat="1" ht="18.75" customHeight="1" x14ac:dyDescent="0.2">
      <c r="A17" s="139"/>
      <c r="B17" s="123"/>
      <c r="C17" s="140"/>
      <c r="D17" s="141"/>
      <c r="E17" s="128"/>
      <c r="F17" s="142"/>
      <c r="G17" s="143"/>
      <c r="H17" s="694" t="s">
        <v>157</v>
      </c>
      <c r="I17" s="695" t="s">
        <v>383</v>
      </c>
      <c r="J17" s="697" t="s">
        <v>250</v>
      </c>
      <c r="K17" s="697"/>
      <c r="L17" s="695" t="s">
        <v>383</v>
      </c>
      <c r="M17" s="697" t="s">
        <v>267</v>
      </c>
      <c r="N17" s="697"/>
      <c r="O17" s="126"/>
      <c r="P17" s="126"/>
      <c r="Q17" s="126"/>
      <c r="R17" s="126"/>
      <c r="S17" s="168"/>
      <c r="T17" s="126"/>
      <c r="U17" s="126"/>
      <c r="V17" s="168"/>
      <c r="W17" s="126"/>
      <c r="X17" s="143"/>
      <c r="Y17" s="154"/>
      <c r="Z17" s="147"/>
      <c r="AA17" s="147"/>
      <c r="AB17" s="148"/>
      <c r="AC17" s="154"/>
      <c r="AD17" s="147"/>
      <c r="AE17" s="147"/>
      <c r="AF17" s="148"/>
      <c r="AI17" s="109" t="str">
        <f>"11:field179:" &amp; IF(I17="■",1,IF(L17="■",2,0))</f>
        <v>11:field179:0</v>
      </c>
    </row>
    <row r="18" spans="1:35" s="109" customFormat="1" ht="18.75" customHeight="1" x14ac:dyDescent="0.2">
      <c r="A18" s="139"/>
      <c r="B18" s="123"/>
      <c r="C18" s="140"/>
      <c r="D18" s="141"/>
      <c r="E18" s="128"/>
      <c r="F18" s="142"/>
      <c r="G18" s="143"/>
      <c r="H18" s="693"/>
      <c r="I18" s="696"/>
      <c r="J18" s="698"/>
      <c r="K18" s="698"/>
      <c r="L18" s="696"/>
      <c r="M18" s="698"/>
      <c r="N18" s="698"/>
      <c r="O18" s="169"/>
      <c r="P18" s="169"/>
      <c r="Q18" s="169"/>
      <c r="R18" s="169"/>
      <c r="S18" s="169"/>
      <c r="T18" s="169"/>
      <c r="U18" s="169"/>
      <c r="V18" s="169"/>
      <c r="W18" s="169"/>
      <c r="X18" s="170"/>
      <c r="Y18" s="154"/>
      <c r="Z18" s="147"/>
      <c r="AA18" s="147"/>
      <c r="AB18" s="148"/>
      <c r="AC18" s="154"/>
      <c r="AD18" s="147"/>
      <c r="AE18" s="147"/>
      <c r="AF18" s="148"/>
    </row>
    <row r="19" spans="1:35" s="109" customFormat="1" ht="18.75" customHeight="1" x14ac:dyDescent="0.2">
      <c r="A19" s="139"/>
      <c r="B19" s="123"/>
      <c r="C19" s="140"/>
      <c r="D19" s="171"/>
      <c r="E19" s="128"/>
      <c r="F19" s="142"/>
      <c r="G19" s="143"/>
      <c r="H19" s="694" t="s">
        <v>158</v>
      </c>
      <c r="I19" s="707" t="s">
        <v>383</v>
      </c>
      <c r="J19" s="708" t="s">
        <v>250</v>
      </c>
      <c r="K19" s="708"/>
      <c r="L19" s="707" t="s">
        <v>383</v>
      </c>
      <c r="M19" s="708" t="s">
        <v>267</v>
      </c>
      <c r="N19" s="708"/>
      <c r="O19" s="168"/>
      <c r="P19" s="168"/>
      <c r="Q19" s="168"/>
      <c r="R19" s="168"/>
      <c r="S19" s="168"/>
      <c r="T19" s="168"/>
      <c r="U19" s="168"/>
      <c r="V19" s="168"/>
      <c r="W19" s="168"/>
      <c r="X19" s="173"/>
      <c r="Y19" s="154"/>
      <c r="Z19" s="147"/>
      <c r="AA19" s="147"/>
      <c r="AB19" s="148"/>
      <c r="AC19" s="154"/>
      <c r="AD19" s="147"/>
      <c r="AE19" s="147"/>
      <c r="AF19" s="148"/>
      <c r="AI19" s="109" t="str">
        <f>"11:field180:" &amp; IF(I19="■",1,IF(L19="■",2,0))</f>
        <v>11:field180:0</v>
      </c>
    </row>
    <row r="20" spans="1:35" s="109" customFormat="1" ht="18.75" customHeight="1" x14ac:dyDescent="0.2">
      <c r="A20" s="139"/>
      <c r="B20" s="123"/>
      <c r="C20" s="140"/>
      <c r="D20" s="171"/>
      <c r="E20" s="128"/>
      <c r="F20" s="142"/>
      <c r="G20" s="143"/>
      <c r="H20" s="693"/>
      <c r="I20" s="696"/>
      <c r="J20" s="698"/>
      <c r="K20" s="698"/>
      <c r="L20" s="696"/>
      <c r="M20" s="698"/>
      <c r="N20" s="698"/>
      <c r="O20" s="169"/>
      <c r="P20" s="169"/>
      <c r="Q20" s="169"/>
      <c r="R20" s="169"/>
      <c r="S20" s="169"/>
      <c r="T20" s="169"/>
      <c r="U20" s="169"/>
      <c r="V20" s="169"/>
      <c r="W20" s="169"/>
      <c r="X20" s="170"/>
      <c r="Y20" s="154"/>
      <c r="Z20" s="147"/>
      <c r="AA20" s="147"/>
      <c r="AB20" s="148"/>
      <c r="AC20" s="154"/>
      <c r="AD20" s="147"/>
      <c r="AE20" s="147"/>
      <c r="AF20" s="148"/>
    </row>
    <row r="21" spans="1:35" s="109" customFormat="1" ht="18.75" customHeight="1" x14ac:dyDescent="0.2">
      <c r="A21" s="174"/>
      <c r="B21" s="123"/>
      <c r="C21" s="140"/>
      <c r="D21" s="118" t="s">
        <v>383</v>
      </c>
      <c r="E21" s="128" t="s">
        <v>262</v>
      </c>
      <c r="F21" s="142"/>
      <c r="G21" s="143"/>
      <c r="H21" s="694" t="s">
        <v>456</v>
      </c>
      <c r="I21" s="709" t="s">
        <v>383</v>
      </c>
      <c r="J21" s="708" t="s">
        <v>256</v>
      </c>
      <c r="K21" s="708"/>
      <c r="L21" s="708"/>
      <c r="M21" s="707" t="s">
        <v>383</v>
      </c>
      <c r="N21" s="708" t="s">
        <v>257</v>
      </c>
      <c r="O21" s="708"/>
      <c r="P21" s="708"/>
      <c r="Q21" s="711"/>
      <c r="R21" s="711"/>
      <c r="S21" s="711"/>
      <c r="T21" s="711"/>
      <c r="U21" s="711"/>
      <c r="V21" s="711"/>
      <c r="W21" s="711"/>
      <c r="X21" s="711"/>
      <c r="Y21" s="154"/>
      <c r="Z21" s="147"/>
      <c r="AA21" s="147"/>
      <c r="AB21" s="148"/>
      <c r="AC21" s="154"/>
      <c r="AD21" s="147"/>
      <c r="AE21" s="147"/>
      <c r="AF21" s="148"/>
      <c r="AI21" s="109" t="str">
        <f>"11:field233:" &amp; IF(I21="■",1,IF(M21="■",2,0))</f>
        <v>11:field233:0</v>
      </c>
    </row>
    <row r="22" spans="1:35" s="109" customFormat="1" ht="19.5" customHeight="1" x14ac:dyDescent="0.2">
      <c r="A22" s="125" t="s">
        <v>383</v>
      </c>
      <c r="B22" s="123">
        <v>11</v>
      </c>
      <c r="C22" s="140" t="s">
        <v>2</v>
      </c>
      <c r="D22" s="118" t="s">
        <v>383</v>
      </c>
      <c r="E22" s="128" t="s">
        <v>260</v>
      </c>
      <c r="F22" s="142"/>
      <c r="G22" s="143"/>
      <c r="H22" s="693"/>
      <c r="I22" s="710"/>
      <c r="J22" s="698"/>
      <c r="K22" s="698"/>
      <c r="L22" s="698"/>
      <c r="M22" s="696"/>
      <c r="N22" s="698"/>
      <c r="O22" s="698"/>
      <c r="P22" s="698"/>
      <c r="Q22" s="712"/>
      <c r="R22" s="712"/>
      <c r="S22" s="712"/>
      <c r="T22" s="712"/>
      <c r="U22" s="712"/>
      <c r="V22" s="712"/>
      <c r="W22" s="712"/>
      <c r="X22" s="712"/>
      <c r="Y22" s="154"/>
      <c r="Z22" s="147"/>
      <c r="AA22" s="147"/>
      <c r="AB22" s="148"/>
      <c r="AC22" s="154"/>
      <c r="AD22" s="147"/>
      <c r="AE22" s="147"/>
      <c r="AF22" s="148"/>
    </row>
    <row r="23" spans="1:35" s="109" customFormat="1" ht="19.5" customHeight="1" x14ac:dyDescent="0.2">
      <c r="A23" s="139"/>
      <c r="B23" s="123"/>
      <c r="C23" s="140"/>
      <c r="D23" s="118" t="s">
        <v>383</v>
      </c>
      <c r="E23" s="128" t="s">
        <v>432</v>
      </c>
      <c r="F23" s="142"/>
      <c r="G23" s="143"/>
      <c r="H23" s="694" t="s">
        <v>457</v>
      </c>
      <c r="I23" s="709" t="s">
        <v>383</v>
      </c>
      <c r="J23" s="708" t="s">
        <v>256</v>
      </c>
      <c r="K23" s="708"/>
      <c r="L23" s="708"/>
      <c r="M23" s="707" t="s">
        <v>383</v>
      </c>
      <c r="N23" s="708" t="s">
        <v>257</v>
      </c>
      <c r="O23" s="708"/>
      <c r="P23" s="708"/>
      <c r="Q23" s="711"/>
      <c r="R23" s="711"/>
      <c r="S23" s="711"/>
      <c r="T23" s="711"/>
      <c r="U23" s="711"/>
      <c r="V23" s="711"/>
      <c r="W23" s="711"/>
      <c r="X23" s="711"/>
      <c r="Y23" s="154"/>
      <c r="Z23" s="147"/>
      <c r="AA23" s="147"/>
      <c r="AB23" s="148"/>
      <c r="AC23" s="154"/>
      <c r="AD23" s="147"/>
      <c r="AE23" s="147"/>
      <c r="AF23" s="148"/>
      <c r="AI23" s="109" t="str">
        <f>"11:field234:" &amp; IF(I23="■",1,IF(M23="■",2,0))</f>
        <v>11:field234:0</v>
      </c>
    </row>
    <row r="24" spans="1:35" s="109" customFormat="1" ht="19.5" customHeight="1" x14ac:dyDescent="0.2">
      <c r="A24" s="139"/>
      <c r="B24" s="123"/>
      <c r="C24" s="140"/>
      <c r="D24" s="108"/>
      <c r="E24" s="128"/>
      <c r="F24" s="142"/>
      <c r="G24" s="143"/>
      <c r="H24" s="693"/>
      <c r="I24" s="710"/>
      <c r="J24" s="698"/>
      <c r="K24" s="698"/>
      <c r="L24" s="698"/>
      <c r="M24" s="696"/>
      <c r="N24" s="698"/>
      <c r="O24" s="698"/>
      <c r="P24" s="698"/>
      <c r="Q24" s="712"/>
      <c r="R24" s="712"/>
      <c r="S24" s="712"/>
      <c r="T24" s="712"/>
      <c r="U24" s="712"/>
      <c r="V24" s="712"/>
      <c r="W24" s="712"/>
      <c r="X24" s="712"/>
      <c r="Y24" s="154"/>
      <c r="Z24" s="147"/>
      <c r="AA24" s="147"/>
      <c r="AB24" s="148"/>
      <c r="AC24" s="154"/>
      <c r="AD24" s="147"/>
      <c r="AE24" s="147"/>
      <c r="AF24" s="148"/>
    </row>
    <row r="25" spans="1:35" s="109" customFormat="1" ht="19.5" customHeight="1" x14ac:dyDescent="0.2">
      <c r="A25" s="139"/>
      <c r="B25" s="123"/>
      <c r="C25" s="140"/>
      <c r="D25" s="108"/>
      <c r="E25" s="128"/>
      <c r="F25" s="142"/>
      <c r="G25" s="143"/>
      <c r="H25" s="694" t="s">
        <v>458</v>
      </c>
      <c r="I25" s="709" t="s">
        <v>383</v>
      </c>
      <c r="J25" s="708" t="s">
        <v>256</v>
      </c>
      <c r="K25" s="708"/>
      <c r="L25" s="708"/>
      <c r="M25" s="707" t="s">
        <v>383</v>
      </c>
      <c r="N25" s="708" t="s">
        <v>257</v>
      </c>
      <c r="O25" s="708"/>
      <c r="P25" s="708"/>
      <c r="Q25" s="711"/>
      <c r="R25" s="711"/>
      <c r="S25" s="711"/>
      <c r="T25" s="711"/>
      <c r="U25" s="711"/>
      <c r="V25" s="711"/>
      <c r="W25" s="711"/>
      <c r="X25" s="711"/>
      <c r="Y25" s="154"/>
      <c r="Z25" s="147"/>
      <c r="AA25" s="147"/>
      <c r="AB25" s="148"/>
      <c r="AC25" s="154"/>
      <c r="AD25" s="147"/>
      <c r="AE25" s="147"/>
      <c r="AF25" s="148"/>
      <c r="AI25" s="109" t="str">
        <f>"11:field235:" &amp; IF(I25="■",1,IF(M25="■",2,0))</f>
        <v>11:field235:0</v>
      </c>
    </row>
    <row r="26" spans="1:35" s="109" customFormat="1" ht="19.5" customHeight="1" x14ac:dyDescent="0.2">
      <c r="A26" s="139"/>
      <c r="B26" s="123"/>
      <c r="C26" s="140"/>
      <c r="D26" s="108"/>
      <c r="E26" s="128"/>
      <c r="F26" s="142"/>
      <c r="G26" s="143"/>
      <c r="H26" s="693"/>
      <c r="I26" s="710"/>
      <c r="J26" s="698"/>
      <c r="K26" s="698"/>
      <c r="L26" s="698"/>
      <c r="M26" s="696"/>
      <c r="N26" s="698"/>
      <c r="O26" s="698"/>
      <c r="P26" s="698"/>
      <c r="Q26" s="712"/>
      <c r="R26" s="712"/>
      <c r="S26" s="712"/>
      <c r="T26" s="712"/>
      <c r="U26" s="712"/>
      <c r="V26" s="712"/>
      <c r="W26" s="712"/>
      <c r="X26" s="712"/>
      <c r="Y26" s="154"/>
      <c r="Z26" s="147"/>
      <c r="AA26" s="147"/>
      <c r="AB26" s="148"/>
      <c r="AC26" s="154"/>
      <c r="AD26" s="147"/>
      <c r="AE26" s="147"/>
      <c r="AF26" s="148"/>
    </row>
    <row r="27" spans="1:35" s="109" customFormat="1" ht="19.5" customHeight="1" x14ac:dyDescent="0.2">
      <c r="A27" s="139"/>
      <c r="B27" s="123"/>
      <c r="C27" s="143"/>
      <c r="D27" s="108"/>
      <c r="E27" s="128"/>
      <c r="F27" s="142"/>
      <c r="G27" s="143"/>
      <c r="H27" s="164" t="s">
        <v>192</v>
      </c>
      <c r="I27" s="118" t="s">
        <v>781</v>
      </c>
      <c r="J27" s="157" t="s">
        <v>250</v>
      </c>
      <c r="K27" s="158"/>
      <c r="L27" s="118" t="s">
        <v>383</v>
      </c>
      <c r="M27" s="157" t="s">
        <v>267</v>
      </c>
      <c r="N27" s="157"/>
      <c r="O27" s="157"/>
      <c r="P27" s="157"/>
      <c r="Q27" s="157"/>
      <c r="R27" s="157"/>
      <c r="S27" s="157"/>
      <c r="T27" s="157"/>
      <c r="U27" s="157"/>
      <c r="V27" s="157"/>
      <c r="W27" s="157"/>
      <c r="X27" s="165"/>
      <c r="Y27" s="154"/>
      <c r="Z27" s="147"/>
      <c r="AA27" s="147"/>
      <c r="AB27" s="148"/>
      <c r="AC27" s="154"/>
      <c r="AD27" s="147"/>
      <c r="AE27" s="147"/>
      <c r="AF27" s="148"/>
      <c r="AI27" s="109" t="str">
        <f>"11:tokutiiki_code:" &amp; IF(I27="■",1,IF(L27="■",2,0))</f>
        <v>11:tokutiiki_code:1</v>
      </c>
    </row>
    <row r="28" spans="1:35" s="109" customFormat="1" ht="19.5" customHeight="1" x14ac:dyDescent="0.2">
      <c r="A28" s="139"/>
      <c r="B28" s="178"/>
      <c r="C28" s="178"/>
      <c r="D28" s="108"/>
      <c r="E28" s="108"/>
      <c r="F28" s="142"/>
      <c r="G28" s="143"/>
      <c r="H28" s="694" t="s">
        <v>207</v>
      </c>
      <c r="I28" s="707" t="s">
        <v>781</v>
      </c>
      <c r="J28" s="708" t="s">
        <v>256</v>
      </c>
      <c r="K28" s="708"/>
      <c r="L28" s="708"/>
      <c r="M28" s="707" t="s">
        <v>383</v>
      </c>
      <c r="N28" s="708" t="s">
        <v>257</v>
      </c>
      <c r="O28" s="708"/>
      <c r="P28" s="708"/>
      <c r="Q28" s="168"/>
      <c r="R28" s="168"/>
      <c r="S28" s="168"/>
      <c r="T28" s="168"/>
      <c r="U28" s="168"/>
      <c r="V28" s="168"/>
      <c r="W28" s="168"/>
      <c r="X28" s="173"/>
      <c r="Y28" s="154"/>
      <c r="Z28" s="147"/>
      <c r="AA28" s="147"/>
      <c r="AB28" s="148"/>
      <c r="AC28" s="154"/>
      <c r="AD28" s="147"/>
      <c r="AE28" s="147"/>
      <c r="AF28" s="148"/>
      <c r="AI28" s="109" t="str">
        <f>"11:chuusankanti_tiiki_code:" &amp; IF(I28="■",1,IF(M28="■",2,0))</f>
        <v>11:chuusankanti_tiiki_code:1</v>
      </c>
    </row>
    <row r="29" spans="1:35" s="109" customFormat="1" ht="18.75" customHeight="1" x14ac:dyDescent="0.2">
      <c r="A29" s="174"/>
      <c r="B29" s="178"/>
      <c r="C29" s="178"/>
      <c r="D29" s="108"/>
      <c r="E29" s="108"/>
      <c r="F29" s="142"/>
      <c r="G29" s="143"/>
      <c r="H29" s="693"/>
      <c r="I29" s="696"/>
      <c r="J29" s="698"/>
      <c r="K29" s="698"/>
      <c r="L29" s="698"/>
      <c r="M29" s="696"/>
      <c r="N29" s="698"/>
      <c r="O29" s="698"/>
      <c r="P29" s="698"/>
      <c r="Q29" s="179"/>
      <c r="R29" s="179"/>
      <c r="S29" s="179"/>
      <c r="T29" s="179"/>
      <c r="U29" s="179"/>
      <c r="V29" s="179"/>
      <c r="W29" s="179"/>
      <c r="X29" s="180"/>
      <c r="Y29" s="154"/>
      <c r="Z29" s="147"/>
      <c r="AA29" s="147"/>
      <c r="AB29" s="148"/>
      <c r="AC29" s="154"/>
      <c r="AD29" s="147"/>
      <c r="AE29" s="147"/>
      <c r="AF29" s="148"/>
    </row>
    <row r="30" spans="1:35" s="109" customFormat="1" ht="18.75" customHeight="1" x14ac:dyDescent="0.2">
      <c r="A30" s="139"/>
      <c r="B30" s="178"/>
      <c r="C30" s="178"/>
      <c r="D30" s="108"/>
      <c r="E30" s="108"/>
      <c r="F30" s="142"/>
      <c r="G30" s="143"/>
      <c r="H30" s="694" t="s">
        <v>208</v>
      </c>
      <c r="I30" s="707" t="s">
        <v>781</v>
      </c>
      <c r="J30" s="708" t="s">
        <v>256</v>
      </c>
      <c r="K30" s="708"/>
      <c r="L30" s="708"/>
      <c r="M30" s="707" t="s">
        <v>383</v>
      </c>
      <c r="N30" s="708" t="s">
        <v>257</v>
      </c>
      <c r="O30" s="708"/>
      <c r="P30" s="708"/>
      <c r="Q30" s="181"/>
      <c r="R30" s="181"/>
      <c r="S30" s="181"/>
      <c r="T30" s="181"/>
      <c r="U30" s="181"/>
      <c r="V30" s="181"/>
      <c r="W30" s="181"/>
      <c r="X30" s="182"/>
      <c r="Y30" s="154"/>
      <c r="Z30" s="147"/>
      <c r="AA30" s="147"/>
      <c r="AB30" s="148"/>
      <c r="AC30" s="154"/>
      <c r="AD30" s="147"/>
      <c r="AE30" s="147"/>
      <c r="AF30" s="148"/>
      <c r="AI30" s="109" t="str">
        <f>"11:chuusankanti_kibo_code:" &amp; IF(I30="■",1,IF(M30="■",2,0))</f>
        <v>11:chuusankanti_kibo_code:1</v>
      </c>
    </row>
    <row r="31" spans="1:35" s="109" customFormat="1" ht="18.75" customHeight="1" x14ac:dyDescent="0.2">
      <c r="A31" s="139"/>
      <c r="B31" s="123"/>
      <c r="C31" s="140"/>
      <c r="D31" s="141"/>
      <c r="E31" s="128"/>
      <c r="F31" s="142"/>
      <c r="G31" s="143"/>
      <c r="H31" s="693"/>
      <c r="I31" s="696"/>
      <c r="J31" s="698"/>
      <c r="K31" s="698"/>
      <c r="L31" s="698"/>
      <c r="M31" s="696"/>
      <c r="N31" s="698"/>
      <c r="O31" s="698"/>
      <c r="P31" s="698"/>
      <c r="Q31" s="179"/>
      <c r="R31" s="179"/>
      <c r="S31" s="179"/>
      <c r="T31" s="179"/>
      <c r="U31" s="179"/>
      <c r="V31" s="179"/>
      <c r="W31" s="179"/>
      <c r="X31" s="180"/>
      <c r="Y31" s="154"/>
      <c r="Z31" s="147"/>
      <c r="AA31" s="147"/>
      <c r="AB31" s="148"/>
      <c r="AC31" s="154"/>
      <c r="AD31" s="147"/>
      <c r="AE31" s="147"/>
      <c r="AF31" s="148"/>
    </row>
    <row r="32" spans="1:35" s="109" customFormat="1" ht="19.5" customHeight="1" x14ac:dyDescent="0.2">
      <c r="A32" s="139"/>
      <c r="B32" s="123"/>
      <c r="C32" s="140"/>
      <c r="D32" s="141"/>
      <c r="E32" s="128"/>
      <c r="F32" s="142"/>
      <c r="G32" s="143"/>
      <c r="H32" s="155" t="s">
        <v>433</v>
      </c>
      <c r="I32" s="156" t="s">
        <v>383</v>
      </c>
      <c r="J32" s="157" t="s">
        <v>250</v>
      </c>
      <c r="K32" s="157"/>
      <c r="L32" s="160" t="s">
        <v>383</v>
      </c>
      <c r="M32" s="157" t="s">
        <v>267</v>
      </c>
      <c r="N32" s="157"/>
      <c r="O32" s="162"/>
      <c r="P32" s="157"/>
      <c r="Q32" s="162"/>
      <c r="R32" s="162"/>
      <c r="S32" s="162"/>
      <c r="T32" s="162"/>
      <c r="U32" s="162"/>
      <c r="V32" s="162"/>
      <c r="W32" s="162"/>
      <c r="X32" s="163"/>
      <c r="Y32" s="147"/>
      <c r="Z32" s="147"/>
      <c r="AA32" s="147"/>
      <c r="AB32" s="148"/>
      <c r="AC32" s="154"/>
      <c r="AD32" s="147"/>
      <c r="AE32" s="147"/>
      <c r="AF32" s="148"/>
      <c r="AI32" s="109" t="str">
        <f>"11:field224:" &amp; IF(I32="■",1,IF(L32="■",2,0))</f>
        <v>11:field224:0</v>
      </c>
    </row>
    <row r="33" spans="1:37" s="109" customFormat="1" ht="19.5" customHeight="1" x14ac:dyDescent="0.2">
      <c r="A33" s="139"/>
      <c r="B33" s="123"/>
      <c r="C33" s="140"/>
      <c r="D33" s="141"/>
      <c r="E33" s="128"/>
      <c r="F33" s="142"/>
      <c r="G33" s="143"/>
      <c r="H33" s="155" t="s">
        <v>116</v>
      </c>
      <c r="I33" s="156" t="s">
        <v>383</v>
      </c>
      <c r="J33" s="157" t="s">
        <v>250</v>
      </c>
      <c r="K33" s="157"/>
      <c r="L33" s="160" t="s">
        <v>383</v>
      </c>
      <c r="M33" s="157" t="s">
        <v>251</v>
      </c>
      <c r="N33" s="157"/>
      <c r="O33" s="160" t="s">
        <v>383</v>
      </c>
      <c r="P33" s="157" t="s">
        <v>252</v>
      </c>
      <c r="Q33" s="162"/>
      <c r="R33" s="162"/>
      <c r="S33" s="162"/>
      <c r="T33" s="162"/>
      <c r="U33" s="162"/>
      <c r="V33" s="162"/>
      <c r="W33" s="162"/>
      <c r="X33" s="163"/>
      <c r="Y33" s="147"/>
      <c r="Z33" s="147"/>
      <c r="AA33" s="147"/>
      <c r="AB33" s="148"/>
      <c r="AC33" s="154"/>
      <c r="AD33" s="147"/>
      <c r="AE33" s="147"/>
      <c r="AF33" s="148"/>
      <c r="AI33" s="109" t="str">
        <f>"11:ninti_senmoncare_code:" &amp; IF(I33="■",1,IF(O33="■",3,IF(L33="■",2,0)))</f>
        <v>11:ninti_senmoncare_code:0</v>
      </c>
    </row>
    <row r="34" spans="1:37" s="621" customFormat="1" ht="18" customHeight="1" x14ac:dyDescent="0.2">
      <c r="A34" s="139"/>
      <c r="B34" s="607"/>
      <c r="C34" s="140"/>
      <c r="D34" s="141"/>
      <c r="E34" s="128"/>
      <c r="F34" s="142"/>
      <c r="G34" s="143"/>
      <c r="H34" s="713" t="s">
        <v>790</v>
      </c>
      <c r="I34" s="600" t="s">
        <v>383</v>
      </c>
      <c r="J34" s="616" t="s">
        <v>627</v>
      </c>
      <c r="K34" s="616"/>
      <c r="L34" s="615"/>
      <c r="M34" s="602" t="s">
        <v>383</v>
      </c>
      <c r="N34" s="616" t="s">
        <v>791</v>
      </c>
      <c r="O34" s="617"/>
      <c r="P34" s="615"/>
      <c r="Q34" s="602" t="s">
        <v>383</v>
      </c>
      <c r="R34" s="618" t="s">
        <v>792</v>
      </c>
      <c r="S34" s="615"/>
      <c r="T34" s="615"/>
      <c r="U34" s="615"/>
      <c r="V34" s="618"/>
      <c r="W34" s="619"/>
      <c r="X34" s="620"/>
      <c r="Y34" s="147"/>
      <c r="Z34" s="147"/>
      <c r="AA34" s="147"/>
      <c r="AB34" s="148"/>
      <c r="AC34" s="154"/>
      <c r="AD34" s="147"/>
      <c r="AE34" s="147"/>
      <c r="AF34" s="148"/>
    </row>
    <row r="35" spans="1:37" s="621" customFormat="1" ht="18.75" customHeight="1" x14ac:dyDescent="0.2">
      <c r="A35" s="139"/>
      <c r="B35" s="607"/>
      <c r="C35" s="140"/>
      <c r="D35" s="141"/>
      <c r="E35" s="128"/>
      <c r="F35" s="142"/>
      <c r="G35" s="143"/>
      <c r="H35" s="714"/>
      <c r="I35" s="601" t="s">
        <v>383</v>
      </c>
      <c r="J35" s="623" t="s">
        <v>793</v>
      </c>
      <c r="K35" s="623"/>
      <c r="L35" s="622"/>
      <c r="M35" s="603" t="s">
        <v>383</v>
      </c>
      <c r="N35" s="623" t="s">
        <v>794</v>
      </c>
      <c r="O35" s="624"/>
      <c r="P35" s="622"/>
      <c r="Q35" s="603" t="s">
        <v>383</v>
      </c>
      <c r="R35" s="623" t="s">
        <v>795</v>
      </c>
      <c r="S35" s="622"/>
      <c r="T35" s="623"/>
      <c r="U35" s="603" t="s">
        <v>383</v>
      </c>
      <c r="V35" s="623" t="s">
        <v>796</v>
      </c>
      <c r="W35" s="625"/>
      <c r="X35" s="626"/>
      <c r="Y35" s="147"/>
      <c r="Z35" s="147"/>
      <c r="AA35" s="147"/>
      <c r="AB35" s="148"/>
      <c r="AC35" s="154"/>
      <c r="AD35" s="147"/>
      <c r="AE35" s="147"/>
      <c r="AF35" s="148"/>
    </row>
    <row r="36" spans="1:37" s="109" customFormat="1" ht="19.5" customHeight="1" x14ac:dyDescent="0.2">
      <c r="A36" s="129"/>
      <c r="B36" s="116"/>
      <c r="C36" s="130"/>
      <c r="D36" s="131"/>
      <c r="E36" s="121"/>
      <c r="F36" s="132"/>
      <c r="G36" s="133"/>
      <c r="H36" s="195" t="s">
        <v>430</v>
      </c>
      <c r="I36" s="196" t="s">
        <v>383</v>
      </c>
      <c r="J36" s="197" t="s">
        <v>395</v>
      </c>
      <c r="K36" s="198"/>
      <c r="L36" s="199"/>
      <c r="M36" s="200" t="s">
        <v>383</v>
      </c>
      <c r="N36" s="197" t="s">
        <v>431</v>
      </c>
      <c r="O36" s="201"/>
      <c r="P36" s="197"/>
      <c r="Q36" s="201"/>
      <c r="R36" s="201"/>
      <c r="S36" s="201"/>
      <c r="T36" s="201"/>
      <c r="U36" s="201"/>
      <c r="V36" s="201"/>
      <c r="W36" s="201"/>
      <c r="X36" s="202"/>
      <c r="Y36" s="138" t="s">
        <v>383</v>
      </c>
      <c r="Z36" s="119" t="s">
        <v>249</v>
      </c>
      <c r="AA36" s="119"/>
      <c r="AB36" s="137"/>
      <c r="AC36" s="138" t="s">
        <v>383</v>
      </c>
      <c r="AD36" s="119" t="s">
        <v>249</v>
      </c>
      <c r="AE36" s="119"/>
      <c r="AF36" s="137"/>
      <c r="AG36" s="109" t="str">
        <f>"ser_code = '" &amp; IF(A41="■",12,"") &amp; "'"</f>
        <v>ser_code = ''</v>
      </c>
      <c r="AI36" s="109" t="str">
        <f>"12:field223:" &amp; IF(I36="■",1,IF(M36="■",2,0))</f>
        <v>12:field223:0</v>
      </c>
      <c r="AJ36" s="109" t="str">
        <f>"12:field203:" &amp; IF(Y36="■",1,IF(Y37="■",2,0))</f>
        <v>12:field203:0</v>
      </c>
      <c r="AK36" s="109" t="str">
        <f>"12:waribiki_code:" &amp; IF(AC36="■",1,IF(AC37="■",2,0))</f>
        <v>12:waribiki_code:0</v>
      </c>
    </row>
    <row r="37" spans="1:37" s="109" customFormat="1" ht="19.5" customHeight="1" x14ac:dyDescent="0.2">
      <c r="A37" s="139"/>
      <c r="B37" s="123"/>
      <c r="C37" s="140"/>
      <c r="D37" s="141"/>
      <c r="E37" s="128"/>
      <c r="F37" s="142"/>
      <c r="G37" s="143"/>
      <c r="H37" s="348" t="s">
        <v>448</v>
      </c>
      <c r="I37" s="349" t="s">
        <v>383</v>
      </c>
      <c r="J37" s="350" t="s">
        <v>395</v>
      </c>
      <c r="K37" s="351"/>
      <c r="L37" s="352"/>
      <c r="M37" s="353" t="s">
        <v>383</v>
      </c>
      <c r="N37" s="350" t="s">
        <v>431</v>
      </c>
      <c r="O37" s="354"/>
      <c r="P37" s="350"/>
      <c r="Q37" s="355"/>
      <c r="R37" s="355"/>
      <c r="S37" s="355"/>
      <c r="T37" s="355"/>
      <c r="U37" s="355"/>
      <c r="V37" s="355"/>
      <c r="W37" s="355"/>
      <c r="X37" s="356"/>
      <c r="Y37" s="118" t="s">
        <v>383</v>
      </c>
      <c r="Z37" s="126" t="s">
        <v>255</v>
      </c>
      <c r="AA37" s="147"/>
      <c r="AB37" s="148"/>
      <c r="AC37" s="125" t="s">
        <v>383</v>
      </c>
      <c r="AD37" s="126" t="s">
        <v>255</v>
      </c>
      <c r="AE37" s="92"/>
      <c r="AF37" s="102"/>
      <c r="AI37" s="109" t="str">
        <f>"12:field232:" &amp; IF(I37="■",1,IF(M37="■",2,0))</f>
        <v>12:field232:0</v>
      </c>
    </row>
    <row r="38" spans="1:37" s="109" customFormat="1" ht="19.5" customHeight="1" x14ac:dyDescent="0.2">
      <c r="A38" s="139"/>
      <c r="B38" s="123"/>
      <c r="C38" s="140"/>
      <c r="D38" s="141"/>
      <c r="E38" s="128"/>
      <c r="F38" s="142"/>
      <c r="G38" s="143"/>
      <c r="H38" s="149" t="s">
        <v>135</v>
      </c>
      <c r="I38" s="150" t="s">
        <v>781</v>
      </c>
      <c r="J38" s="169" t="s">
        <v>250</v>
      </c>
      <c r="K38" s="179"/>
      <c r="L38" s="203" t="s">
        <v>383</v>
      </c>
      <c r="M38" s="169" t="s">
        <v>267</v>
      </c>
      <c r="N38" s="169"/>
      <c r="O38" s="169"/>
      <c r="P38" s="169"/>
      <c r="Q38" s="169"/>
      <c r="R38" s="169"/>
      <c r="S38" s="169"/>
      <c r="T38" s="169"/>
      <c r="U38" s="169"/>
      <c r="V38" s="169"/>
      <c r="W38" s="169"/>
      <c r="X38" s="170"/>
      <c r="Y38" s="108"/>
      <c r="Z38" s="126"/>
      <c r="AA38" s="147"/>
      <c r="AB38" s="148"/>
      <c r="AC38" s="141"/>
      <c r="AD38" s="126"/>
      <c r="AE38" s="147"/>
      <c r="AF38" s="148"/>
      <c r="AI38" s="109" t="str">
        <f>"12:tokutiiki_code:" &amp; IF(I38="■",1,IF(L38="■",2,0))</f>
        <v>12:tokutiiki_code:1</v>
      </c>
    </row>
    <row r="39" spans="1:37" s="109" customFormat="1" ht="18.75" customHeight="1" x14ac:dyDescent="0.2">
      <c r="A39" s="139"/>
      <c r="B39" s="123"/>
      <c r="C39" s="140"/>
      <c r="D39" s="141"/>
      <c r="E39" s="128"/>
      <c r="F39" s="142"/>
      <c r="G39" s="143"/>
      <c r="H39" s="694" t="s">
        <v>207</v>
      </c>
      <c r="I39" s="707" t="s">
        <v>781</v>
      </c>
      <c r="J39" s="708" t="s">
        <v>256</v>
      </c>
      <c r="K39" s="708"/>
      <c r="L39" s="708"/>
      <c r="M39" s="707" t="s">
        <v>383</v>
      </c>
      <c r="N39" s="708" t="s">
        <v>257</v>
      </c>
      <c r="O39" s="708"/>
      <c r="P39" s="708"/>
      <c r="Q39" s="181"/>
      <c r="R39" s="181"/>
      <c r="S39" s="181"/>
      <c r="T39" s="181"/>
      <c r="U39" s="181"/>
      <c r="V39" s="181"/>
      <c r="W39" s="181"/>
      <c r="X39" s="182"/>
      <c r="Y39" s="108"/>
      <c r="Z39" s="108"/>
      <c r="AA39" s="108"/>
      <c r="AB39" s="148"/>
      <c r="AC39" s="141"/>
      <c r="AD39" s="108"/>
      <c r="AE39" s="108"/>
      <c r="AF39" s="148"/>
      <c r="AI39" s="109" t="str">
        <f>"12:chuusankanti_tiiki_code:" &amp; IF(I39="■",1,IF(M39="■",2,0))</f>
        <v>12:chuusankanti_tiiki_code:1</v>
      </c>
    </row>
    <row r="40" spans="1:37" s="109" customFormat="1" ht="18.75" customHeight="1" x14ac:dyDescent="0.2">
      <c r="A40" s="139"/>
      <c r="B40" s="123"/>
      <c r="C40" s="140"/>
      <c r="D40" s="141"/>
      <c r="E40" s="128"/>
      <c r="F40" s="142"/>
      <c r="G40" s="143"/>
      <c r="H40" s="693"/>
      <c r="I40" s="696"/>
      <c r="J40" s="698"/>
      <c r="K40" s="698"/>
      <c r="L40" s="698"/>
      <c r="M40" s="696"/>
      <c r="N40" s="698"/>
      <c r="O40" s="698"/>
      <c r="P40" s="698"/>
      <c r="Q40" s="152"/>
      <c r="R40" s="152"/>
      <c r="S40" s="152"/>
      <c r="T40" s="152"/>
      <c r="U40" s="152"/>
      <c r="V40" s="152"/>
      <c r="W40" s="152"/>
      <c r="X40" s="153"/>
      <c r="Y40" s="154"/>
      <c r="Z40" s="147"/>
      <c r="AA40" s="147"/>
      <c r="AB40" s="148"/>
      <c r="AC40" s="154"/>
      <c r="AD40" s="147"/>
      <c r="AE40" s="147"/>
      <c r="AF40" s="148"/>
    </row>
    <row r="41" spans="1:37" s="109" customFormat="1" ht="18.75" customHeight="1" x14ac:dyDescent="0.2">
      <c r="A41" s="125" t="s">
        <v>383</v>
      </c>
      <c r="B41" s="123">
        <v>12</v>
      </c>
      <c r="C41" s="140" t="s">
        <v>435</v>
      </c>
      <c r="D41" s="141"/>
      <c r="E41" s="128"/>
      <c r="F41" s="142"/>
      <c r="G41" s="143"/>
      <c r="H41" s="694" t="s">
        <v>208</v>
      </c>
      <c r="I41" s="707" t="s">
        <v>781</v>
      </c>
      <c r="J41" s="708" t="s">
        <v>256</v>
      </c>
      <c r="K41" s="708"/>
      <c r="L41" s="708"/>
      <c r="M41" s="707" t="s">
        <v>383</v>
      </c>
      <c r="N41" s="708" t="s">
        <v>257</v>
      </c>
      <c r="O41" s="708"/>
      <c r="P41" s="708"/>
      <c r="Q41" s="181"/>
      <c r="R41" s="181"/>
      <c r="S41" s="181"/>
      <c r="T41" s="181"/>
      <c r="U41" s="181"/>
      <c r="V41" s="181"/>
      <c r="W41" s="181"/>
      <c r="X41" s="182"/>
      <c r="Y41" s="154"/>
      <c r="Z41" s="147"/>
      <c r="AA41" s="147"/>
      <c r="AB41" s="148"/>
      <c r="AC41" s="154"/>
      <c r="AD41" s="147"/>
      <c r="AE41" s="147"/>
      <c r="AF41" s="148"/>
      <c r="AI41" s="109" t="str">
        <f>"12:chuusankanti_kibo_code:" &amp; IF(I41="■",1,IF(M41="■",2,0))</f>
        <v>12:chuusankanti_kibo_code:1</v>
      </c>
    </row>
    <row r="42" spans="1:37" s="109" customFormat="1" ht="18.75" customHeight="1" x14ac:dyDescent="0.2">
      <c r="A42" s="139"/>
      <c r="B42" s="123"/>
      <c r="C42" s="140"/>
      <c r="D42" s="141"/>
      <c r="E42" s="128"/>
      <c r="F42" s="142"/>
      <c r="G42" s="143"/>
      <c r="H42" s="693"/>
      <c r="I42" s="695"/>
      <c r="J42" s="697"/>
      <c r="K42" s="697"/>
      <c r="L42" s="697"/>
      <c r="M42" s="695"/>
      <c r="N42" s="698"/>
      <c r="O42" s="698"/>
      <c r="P42" s="698"/>
      <c r="Q42" s="152"/>
      <c r="R42" s="152"/>
      <c r="S42" s="152"/>
      <c r="T42" s="152"/>
      <c r="U42" s="152"/>
      <c r="V42" s="152"/>
      <c r="W42" s="152"/>
      <c r="X42" s="153"/>
      <c r="Y42" s="154"/>
      <c r="Z42" s="147"/>
      <c r="AA42" s="147"/>
      <c r="AB42" s="148"/>
      <c r="AC42" s="154"/>
      <c r="AD42" s="147"/>
      <c r="AE42" s="147"/>
      <c r="AF42" s="148"/>
    </row>
    <row r="43" spans="1:37" s="109" customFormat="1" ht="19.5" customHeight="1" x14ac:dyDescent="0.2">
      <c r="A43" s="139"/>
      <c r="B43" s="123"/>
      <c r="C43" s="140"/>
      <c r="D43" s="141"/>
      <c r="E43" s="128"/>
      <c r="F43" s="142"/>
      <c r="G43" s="143"/>
      <c r="H43" s="204" t="s">
        <v>116</v>
      </c>
      <c r="I43" s="160" t="s">
        <v>383</v>
      </c>
      <c r="J43" s="157" t="s">
        <v>250</v>
      </c>
      <c r="K43" s="157"/>
      <c r="L43" s="160" t="s">
        <v>383</v>
      </c>
      <c r="M43" s="157" t="s">
        <v>251</v>
      </c>
      <c r="N43" s="157"/>
      <c r="O43" s="160" t="s">
        <v>383</v>
      </c>
      <c r="P43" s="157" t="s">
        <v>252</v>
      </c>
      <c r="Q43" s="162"/>
      <c r="R43" s="158"/>
      <c r="S43" s="158"/>
      <c r="T43" s="158"/>
      <c r="U43" s="158"/>
      <c r="V43" s="158"/>
      <c r="W43" s="158"/>
      <c r="X43" s="166"/>
      <c r="Y43" s="154"/>
      <c r="Z43" s="147"/>
      <c r="AA43" s="147"/>
      <c r="AB43" s="148"/>
      <c r="AC43" s="154"/>
      <c r="AD43" s="147"/>
      <c r="AE43" s="147"/>
      <c r="AF43" s="148"/>
      <c r="AI43" s="109" t="str">
        <f>"12:ninti_senmoncare_code:" &amp; IF(I43="■",1,IF(O43="■",3,IF(L43="■",2,0)))</f>
        <v>12:ninti_senmoncare_code:0</v>
      </c>
    </row>
    <row r="44" spans="1:37" s="109" customFormat="1" ht="18.75" customHeight="1" x14ac:dyDescent="0.2">
      <c r="A44" s="174"/>
      <c r="B44" s="123"/>
      <c r="C44" s="140"/>
      <c r="D44" s="141"/>
      <c r="E44" s="128"/>
      <c r="F44" s="142"/>
      <c r="G44" s="143"/>
      <c r="H44" s="149" t="s">
        <v>434</v>
      </c>
      <c r="I44" s="156" t="s">
        <v>383</v>
      </c>
      <c r="J44" s="157" t="s">
        <v>250</v>
      </c>
      <c r="K44" s="158"/>
      <c r="L44" s="160" t="s">
        <v>383</v>
      </c>
      <c r="M44" s="157" t="s">
        <v>267</v>
      </c>
      <c r="N44" s="151"/>
      <c r="O44" s="151"/>
      <c r="P44" s="151"/>
      <c r="Q44" s="152"/>
      <c r="R44" s="152"/>
      <c r="S44" s="152"/>
      <c r="T44" s="152"/>
      <c r="U44" s="152"/>
      <c r="V44" s="152"/>
      <c r="W44" s="152"/>
      <c r="X44" s="153"/>
      <c r="Y44" s="154"/>
      <c r="Z44" s="147"/>
      <c r="AA44" s="147"/>
      <c r="AB44" s="148"/>
      <c r="AC44" s="154"/>
      <c r="AD44" s="147"/>
      <c r="AE44" s="147"/>
      <c r="AF44" s="148"/>
      <c r="AI44" s="109" t="str">
        <f>"12:field171:" &amp; IF(I44="■",1,IF(L44="■",2,0))</f>
        <v>12:field171:0</v>
      </c>
    </row>
    <row r="45" spans="1:37" s="109" customFormat="1" ht="19.5" customHeight="1" x14ac:dyDescent="0.2">
      <c r="A45" s="139"/>
      <c r="B45" s="123"/>
      <c r="C45" s="140"/>
      <c r="D45" s="141"/>
      <c r="E45" s="128"/>
      <c r="F45" s="142"/>
      <c r="G45" s="143"/>
      <c r="H45" s="164" t="s">
        <v>153</v>
      </c>
      <c r="I45" s="156" t="s">
        <v>383</v>
      </c>
      <c r="J45" s="169" t="s">
        <v>250</v>
      </c>
      <c r="K45" s="169"/>
      <c r="L45" s="160" t="s">
        <v>383</v>
      </c>
      <c r="M45" s="157" t="s">
        <v>263</v>
      </c>
      <c r="N45" s="157"/>
      <c r="O45" s="160" t="s">
        <v>383</v>
      </c>
      <c r="P45" s="157" t="s">
        <v>252</v>
      </c>
      <c r="Q45" s="157"/>
      <c r="R45" s="160" t="s">
        <v>383</v>
      </c>
      <c r="S45" s="169" t="s">
        <v>264</v>
      </c>
      <c r="T45" s="169"/>
      <c r="U45" s="157"/>
      <c r="V45" s="157"/>
      <c r="W45" s="157"/>
      <c r="X45" s="165"/>
      <c r="Y45" s="154"/>
      <c r="Z45" s="147"/>
      <c r="AA45" s="147"/>
      <c r="AB45" s="148"/>
      <c r="AC45" s="154"/>
      <c r="AD45" s="147"/>
      <c r="AE45" s="147"/>
      <c r="AF45" s="148"/>
      <c r="AI45" s="109" t="str">
        <f>"12:serteikyo_kyoka_code:" &amp; IF(I45="■",1,IF(L45="■",4,IF(O45="■",3,IF(R45="■",5,0))))</f>
        <v>12:serteikyo_kyoka_code:0</v>
      </c>
    </row>
    <row r="46" spans="1:37" s="621" customFormat="1" ht="18.75" customHeight="1" x14ac:dyDescent="0.2">
      <c r="A46" s="174"/>
      <c r="B46" s="607"/>
      <c r="C46" s="140"/>
      <c r="D46" s="141"/>
      <c r="E46" s="128"/>
      <c r="F46" s="142"/>
      <c r="G46" s="143"/>
      <c r="H46" s="713" t="s">
        <v>790</v>
      </c>
      <c r="I46" s="600" t="s">
        <v>383</v>
      </c>
      <c r="J46" s="616" t="s">
        <v>627</v>
      </c>
      <c r="K46" s="616"/>
      <c r="L46" s="615"/>
      <c r="M46" s="602" t="s">
        <v>383</v>
      </c>
      <c r="N46" s="616" t="s">
        <v>791</v>
      </c>
      <c r="O46" s="617"/>
      <c r="P46" s="615"/>
      <c r="Q46" s="602" t="s">
        <v>383</v>
      </c>
      <c r="R46" s="618" t="s">
        <v>792</v>
      </c>
      <c r="S46" s="615"/>
      <c r="T46" s="615"/>
      <c r="U46" s="615"/>
      <c r="V46" s="618"/>
      <c r="W46" s="619"/>
      <c r="X46" s="620"/>
      <c r="Y46" s="154"/>
      <c r="Z46" s="147"/>
      <c r="AA46" s="147"/>
      <c r="AB46" s="148"/>
      <c r="AC46" s="154"/>
      <c r="AD46" s="147"/>
      <c r="AE46" s="147"/>
      <c r="AF46" s="148"/>
    </row>
    <row r="47" spans="1:37" s="621" customFormat="1" ht="18.75" customHeight="1" x14ac:dyDescent="0.2">
      <c r="A47" s="174"/>
      <c r="B47" s="607"/>
      <c r="C47" s="140"/>
      <c r="D47" s="141"/>
      <c r="E47" s="128"/>
      <c r="F47" s="142"/>
      <c r="G47" s="143"/>
      <c r="H47" s="714"/>
      <c r="I47" s="601" t="s">
        <v>383</v>
      </c>
      <c r="J47" s="623" t="s">
        <v>793</v>
      </c>
      <c r="K47" s="618"/>
      <c r="L47" s="628"/>
      <c r="M47" s="603" t="s">
        <v>383</v>
      </c>
      <c r="N47" s="623" t="s">
        <v>794</v>
      </c>
      <c r="O47" s="624"/>
      <c r="P47" s="622"/>
      <c r="Q47" s="603" t="s">
        <v>383</v>
      </c>
      <c r="R47" s="623" t="s">
        <v>795</v>
      </c>
      <c r="S47" s="622"/>
      <c r="T47" s="623"/>
      <c r="U47" s="603" t="s">
        <v>383</v>
      </c>
      <c r="V47" s="623" t="s">
        <v>796</v>
      </c>
      <c r="W47" s="625"/>
      <c r="X47" s="626"/>
      <c r="Y47" s="154"/>
      <c r="Z47" s="147"/>
      <c r="AA47" s="147"/>
      <c r="AB47" s="148"/>
      <c r="AC47" s="154"/>
      <c r="AD47" s="147"/>
      <c r="AE47" s="147"/>
      <c r="AF47" s="148"/>
    </row>
    <row r="48" spans="1:37" s="109" customFormat="1" ht="19.5" customHeight="1" x14ac:dyDescent="0.2">
      <c r="A48" s="129"/>
      <c r="B48" s="593"/>
      <c r="C48" s="130"/>
      <c r="D48" s="131"/>
      <c r="E48" s="121"/>
      <c r="F48" s="132"/>
      <c r="G48" s="133"/>
      <c r="H48" s="195" t="s">
        <v>430</v>
      </c>
      <c r="I48" s="196" t="s">
        <v>383</v>
      </c>
      <c r="J48" s="197" t="s">
        <v>395</v>
      </c>
      <c r="K48" s="198"/>
      <c r="L48" s="199"/>
      <c r="M48" s="200" t="s">
        <v>383</v>
      </c>
      <c r="N48" s="197" t="s">
        <v>431</v>
      </c>
      <c r="O48" s="205"/>
      <c r="P48" s="197"/>
      <c r="Q48" s="201"/>
      <c r="R48" s="201"/>
      <c r="S48" s="201"/>
      <c r="T48" s="201"/>
      <c r="U48" s="201"/>
      <c r="V48" s="201"/>
      <c r="W48" s="201"/>
      <c r="X48" s="202"/>
      <c r="Y48" s="605" t="s">
        <v>383</v>
      </c>
      <c r="Z48" s="119" t="s">
        <v>249</v>
      </c>
      <c r="AA48" s="119"/>
      <c r="AB48" s="137"/>
      <c r="AC48" s="675"/>
      <c r="AD48" s="676"/>
      <c r="AE48" s="676"/>
      <c r="AF48" s="677"/>
      <c r="AG48" s="109" t="str">
        <f>"ser_code = '" &amp; IF(A56="■",13,"") &amp; "'"</f>
        <v>ser_code = ''</v>
      </c>
      <c r="AI48" s="109" t="str">
        <f>"13:field223:" &amp; IF(I48="■",1,IF(M48="■",2,0))</f>
        <v>13:field223:0</v>
      </c>
      <c r="AJ48" s="109" t="str">
        <f>"13:field203:" &amp; IF(Y48="■",1,IF(Y49="■",2,0))</f>
        <v>13:field203:0</v>
      </c>
    </row>
    <row r="49" spans="1:35" s="109" customFormat="1" ht="19.5" customHeight="1" x14ac:dyDescent="0.2">
      <c r="A49" s="139"/>
      <c r="B49" s="598"/>
      <c r="C49" s="140"/>
      <c r="D49" s="141"/>
      <c r="E49" s="128"/>
      <c r="F49" s="142"/>
      <c r="G49" s="143"/>
      <c r="H49" s="348" t="s">
        <v>448</v>
      </c>
      <c r="I49" s="349" t="s">
        <v>383</v>
      </c>
      <c r="J49" s="350" t="s">
        <v>395</v>
      </c>
      <c r="K49" s="351"/>
      <c r="L49" s="352"/>
      <c r="M49" s="353" t="s">
        <v>383</v>
      </c>
      <c r="N49" s="350" t="s">
        <v>431</v>
      </c>
      <c r="O49" s="354"/>
      <c r="P49" s="350"/>
      <c r="Q49" s="355"/>
      <c r="R49" s="355"/>
      <c r="S49" s="355"/>
      <c r="T49" s="355"/>
      <c r="U49" s="355"/>
      <c r="V49" s="355"/>
      <c r="W49" s="355"/>
      <c r="X49" s="356"/>
      <c r="Y49" s="606" t="s">
        <v>383</v>
      </c>
      <c r="Z49" s="614" t="s">
        <v>255</v>
      </c>
      <c r="AA49" s="627"/>
      <c r="AB49" s="148"/>
      <c r="AC49" s="678"/>
      <c r="AD49" s="679"/>
      <c r="AE49" s="679"/>
      <c r="AF49" s="680"/>
      <c r="AI49" s="109" t="str">
        <f>"13:field232:" &amp; IF(I49="■",1,IF(M49="■",2,0))</f>
        <v>13:field232:0</v>
      </c>
    </row>
    <row r="50" spans="1:35" s="109" customFormat="1" ht="18.75" customHeight="1" x14ac:dyDescent="0.2">
      <c r="A50" s="139"/>
      <c r="B50" s="598"/>
      <c r="C50" s="140"/>
      <c r="D50" s="141"/>
      <c r="E50" s="128"/>
      <c r="F50" s="142"/>
      <c r="G50" s="143"/>
      <c r="H50" s="586" t="s">
        <v>135</v>
      </c>
      <c r="I50" s="588" t="s">
        <v>781</v>
      </c>
      <c r="J50" s="169" t="s">
        <v>250</v>
      </c>
      <c r="K50" s="179"/>
      <c r="L50" s="590" t="s">
        <v>383</v>
      </c>
      <c r="M50" s="169" t="s">
        <v>267</v>
      </c>
      <c r="N50" s="169"/>
      <c r="O50" s="169"/>
      <c r="P50" s="169"/>
      <c r="Q50" s="152"/>
      <c r="R50" s="152"/>
      <c r="S50" s="152"/>
      <c r="T50" s="152"/>
      <c r="U50" s="152"/>
      <c r="V50" s="152"/>
      <c r="W50" s="152"/>
      <c r="X50" s="153"/>
      <c r="Y50" s="141"/>
      <c r="Z50" s="614"/>
      <c r="AA50" s="627"/>
      <c r="AB50" s="148"/>
      <c r="AC50" s="678"/>
      <c r="AD50" s="679"/>
      <c r="AE50" s="679"/>
      <c r="AF50" s="680"/>
      <c r="AG50" s="109" t="str">
        <f>"13:sisetukbn_code:" &amp; IF(D55="■",1,IF(D56="■",2,IF(D57="■",3,0)))</f>
        <v>13:sisetukbn_code:0</v>
      </c>
      <c r="AI50" s="109" t="str">
        <f>"13:tokutiiki_code:" &amp; IF(I50="■",1,IF(L50="■",2,0))</f>
        <v>13:tokutiiki_code:1</v>
      </c>
    </row>
    <row r="51" spans="1:35" s="109" customFormat="1" ht="18.75" customHeight="1" x14ac:dyDescent="0.2">
      <c r="A51" s="139"/>
      <c r="B51" s="598"/>
      <c r="C51" s="140"/>
      <c r="D51" s="141"/>
      <c r="E51" s="128"/>
      <c r="F51" s="142"/>
      <c r="G51" s="143"/>
      <c r="H51" s="694" t="s">
        <v>207</v>
      </c>
      <c r="I51" s="715" t="s">
        <v>781</v>
      </c>
      <c r="J51" s="708" t="s">
        <v>256</v>
      </c>
      <c r="K51" s="708"/>
      <c r="L51" s="708"/>
      <c r="M51" s="707" t="s">
        <v>383</v>
      </c>
      <c r="N51" s="708" t="s">
        <v>257</v>
      </c>
      <c r="O51" s="708"/>
      <c r="P51" s="708"/>
      <c r="Q51" s="181"/>
      <c r="R51" s="181"/>
      <c r="S51" s="181"/>
      <c r="T51" s="181"/>
      <c r="U51" s="181"/>
      <c r="V51" s="181"/>
      <c r="W51" s="181"/>
      <c r="X51" s="182"/>
      <c r="Y51" s="141"/>
      <c r="Z51" s="638"/>
      <c r="AA51" s="638"/>
      <c r="AB51" s="148"/>
      <c r="AC51" s="678"/>
      <c r="AD51" s="679"/>
      <c r="AE51" s="679"/>
      <c r="AF51" s="680"/>
      <c r="AI51" s="109" t="str">
        <f>"13:chuusankanti_tiiki_code:" &amp; IF(I51="■",1,IF(M51="■",2,0))</f>
        <v>13:chuusankanti_tiiki_code:1</v>
      </c>
    </row>
    <row r="52" spans="1:35" s="109" customFormat="1" ht="18.75" customHeight="1" x14ac:dyDescent="0.2">
      <c r="A52" s="139"/>
      <c r="B52" s="598"/>
      <c r="C52" s="140"/>
      <c r="D52" s="141"/>
      <c r="E52" s="128"/>
      <c r="F52" s="142"/>
      <c r="G52" s="143"/>
      <c r="H52" s="693"/>
      <c r="I52" s="716"/>
      <c r="J52" s="698"/>
      <c r="K52" s="698"/>
      <c r="L52" s="698"/>
      <c r="M52" s="696"/>
      <c r="N52" s="698"/>
      <c r="O52" s="698"/>
      <c r="P52" s="698"/>
      <c r="Q52" s="152"/>
      <c r="R52" s="152"/>
      <c r="S52" s="152"/>
      <c r="T52" s="152"/>
      <c r="U52" s="152"/>
      <c r="V52" s="152"/>
      <c r="W52" s="152"/>
      <c r="X52" s="153"/>
      <c r="Y52" s="154"/>
      <c r="Z52" s="627"/>
      <c r="AA52" s="627"/>
      <c r="AB52" s="148"/>
      <c r="AC52" s="678"/>
      <c r="AD52" s="679"/>
      <c r="AE52" s="679"/>
      <c r="AF52" s="680"/>
    </row>
    <row r="53" spans="1:35" s="109" customFormat="1" ht="18.75" customHeight="1" x14ac:dyDescent="0.2">
      <c r="A53" s="139"/>
      <c r="B53" s="598"/>
      <c r="C53" s="140"/>
      <c r="D53" s="141"/>
      <c r="E53" s="128"/>
      <c r="F53" s="142"/>
      <c r="G53" s="143"/>
      <c r="H53" s="694" t="s">
        <v>208</v>
      </c>
      <c r="I53" s="715" t="s">
        <v>781</v>
      </c>
      <c r="J53" s="708" t="s">
        <v>256</v>
      </c>
      <c r="K53" s="708"/>
      <c r="L53" s="708"/>
      <c r="M53" s="707" t="s">
        <v>383</v>
      </c>
      <c r="N53" s="708" t="s">
        <v>257</v>
      </c>
      <c r="O53" s="708"/>
      <c r="P53" s="708"/>
      <c r="Q53" s="181"/>
      <c r="R53" s="181"/>
      <c r="S53" s="181"/>
      <c r="T53" s="181"/>
      <c r="U53" s="181"/>
      <c r="V53" s="181"/>
      <c r="W53" s="181"/>
      <c r="X53" s="182"/>
      <c r="Y53" s="154"/>
      <c r="Z53" s="627"/>
      <c r="AA53" s="627"/>
      <c r="AB53" s="148"/>
      <c r="AC53" s="678"/>
      <c r="AD53" s="679"/>
      <c r="AE53" s="679"/>
      <c r="AF53" s="680"/>
      <c r="AI53" s="109" t="str">
        <f>"13:chuusankanti_kibo_code:" &amp; IF(I53="■",1,IF(M53="■",2,0))</f>
        <v>13:chuusankanti_kibo_code:1</v>
      </c>
    </row>
    <row r="54" spans="1:35" s="109" customFormat="1" ht="18.75" customHeight="1" x14ac:dyDescent="0.2">
      <c r="A54" s="139"/>
      <c r="B54" s="598"/>
      <c r="C54" s="140"/>
      <c r="D54" s="141"/>
      <c r="E54" s="128"/>
      <c r="F54" s="142"/>
      <c r="G54" s="143"/>
      <c r="H54" s="693"/>
      <c r="I54" s="716"/>
      <c r="J54" s="698"/>
      <c r="K54" s="698"/>
      <c r="L54" s="698"/>
      <c r="M54" s="696"/>
      <c r="N54" s="698"/>
      <c r="O54" s="698"/>
      <c r="P54" s="698"/>
      <c r="Q54" s="152"/>
      <c r="R54" s="152"/>
      <c r="S54" s="152"/>
      <c r="T54" s="152"/>
      <c r="U54" s="152"/>
      <c r="V54" s="152"/>
      <c r="W54" s="152"/>
      <c r="X54" s="153"/>
      <c r="Y54" s="154"/>
      <c r="Z54" s="627"/>
      <c r="AA54" s="627"/>
      <c r="AB54" s="148"/>
      <c r="AC54" s="678"/>
      <c r="AD54" s="679"/>
      <c r="AE54" s="679"/>
      <c r="AF54" s="680"/>
    </row>
    <row r="55" spans="1:35" s="109" customFormat="1" ht="18.75" customHeight="1" x14ac:dyDescent="0.2">
      <c r="A55" s="139"/>
      <c r="B55" s="598"/>
      <c r="C55" s="140"/>
      <c r="D55" s="596" t="s">
        <v>383</v>
      </c>
      <c r="E55" s="128" t="s">
        <v>276</v>
      </c>
      <c r="F55" s="142"/>
      <c r="G55" s="143"/>
      <c r="H55" s="597" t="s">
        <v>214</v>
      </c>
      <c r="I55" s="587" t="s">
        <v>383</v>
      </c>
      <c r="J55" s="157" t="s">
        <v>250</v>
      </c>
      <c r="K55" s="158"/>
      <c r="L55" s="160" t="s">
        <v>383</v>
      </c>
      <c r="M55" s="157" t="s">
        <v>268</v>
      </c>
      <c r="N55" s="157"/>
      <c r="O55" s="589" t="s">
        <v>383</v>
      </c>
      <c r="P55" s="168" t="s">
        <v>269</v>
      </c>
      <c r="Q55" s="591"/>
      <c r="R55" s="591"/>
      <c r="S55" s="591"/>
      <c r="T55" s="591"/>
      <c r="U55" s="591"/>
      <c r="V55" s="591"/>
      <c r="W55" s="591"/>
      <c r="X55" s="208"/>
      <c r="Y55" s="154"/>
      <c r="Z55" s="627"/>
      <c r="AA55" s="627"/>
      <c r="AB55" s="148"/>
      <c r="AC55" s="678"/>
      <c r="AD55" s="679"/>
      <c r="AE55" s="679"/>
      <c r="AF55" s="680"/>
      <c r="AI55" s="109" t="str">
        <f>"13:kinkyu_code:"&amp;IF(I55="■",1,IF(O55="■",3,IF(L55="■",2,0)))</f>
        <v>13:kinkyu_code:0</v>
      </c>
    </row>
    <row r="56" spans="1:35" s="109" customFormat="1" ht="18.75" customHeight="1" x14ac:dyDescent="0.2">
      <c r="A56" s="594" t="s">
        <v>383</v>
      </c>
      <c r="B56" s="598">
        <v>13</v>
      </c>
      <c r="C56" s="140" t="s">
        <v>4</v>
      </c>
      <c r="D56" s="596" t="s">
        <v>383</v>
      </c>
      <c r="E56" s="128" t="s">
        <v>274</v>
      </c>
      <c r="F56" s="142"/>
      <c r="G56" s="143"/>
      <c r="H56" s="597" t="s">
        <v>215</v>
      </c>
      <c r="I56" s="587" t="s">
        <v>383</v>
      </c>
      <c r="J56" s="157" t="s">
        <v>265</v>
      </c>
      <c r="K56" s="158"/>
      <c r="L56" s="159"/>
      <c r="M56" s="596" t="s">
        <v>383</v>
      </c>
      <c r="N56" s="157" t="s">
        <v>266</v>
      </c>
      <c r="O56" s="162"/>
      <c r="P56" s="162"/>
      <c r="Q56" s="162"/>
      <c r="R56" s="162"/>
      <c r="S56" s="162"/>
      <c r="T56" s="162"/>
      <c r="U56" s="162"/>
      <c r="V56" s="162"/>
      <c r="W56" s="162"/>
      <c r="X56" s="163"/>
      <c r="Y56" s="154"/>
      <c r="Z56" s="627"/>
      <c r="AA56" s="627"/>
      <c r="AB56" s="148"/>
      <c r="AC56" s="678"/>
      <c r="AD56" s="679"/>
      <c r="AE56" s="679"/>
      <c r="AF56" s="680"/>
      <c r="AI56" s="109" t="str">
        <f>"13:tokukanri_code:" &amp; IF(I56="■",1,IF(M56="■",2,0))</f>
        <v>13:tokukanri_code:0</v>
      </c>
    </row>
    <row r="57" spans="1:35" s="109" customFormat="1" ht="18.75" customHeight="1" x14ac:dyDescent="0.2">
      <c r="A57" s="139"/>
      <c r="B57" s="598"/>
      <c r="C57" s="140"/>
      <c r="D57" s="596" t="s">
        <v>383</v>
      </c>
      <c r="E57" s="128" t="s">
        <v>275</v>
      </c>
      <c r="F57" s="142"/>
      <c r="G57" s="143"/>
      <c r="H57" s="597" t="s">
        <v>436</v>
      </c>
      <c r="I57" s="587" t="s">
        <v>383</v>
      </c>
      <c r="J57" s="157" t="s">
        <v>250</v>
      </c>
      <c r="K57" s="158"/>
      <c r="L57" s="160" t="s">
        <v>383</v>
      </c>
      <c r="M57" s="157" t="s">
        <v>267</v>
      </c>
      <c r="N57" s="157"/>
      <c r="O57" s="591"/>
      <c r="P57" s="591"/>
      <c r="Q57" s="591"/>
      <c r="R57" s="591"/>
      <c r="S57" s="591"/>
      <c r="T57" s="591"/>
      <c r="U57" s="591"/>
      <c r="V57" s="591"/>
      <c r="W57" s="591"/>
      <c r="X57" s="208"/>
      <c r="Y57" s="154"/>
      <c r="Z57" s="627"/>
      <c r="AA57" s="627"/>
      <c r="AB57" s="148"/>
      <c r="AC57" s="678"/>
      <c r="AD57" s="679"/>
      <c r="AE57" s="679"/>
      <c r="AF57" s="680"/>
      <c r="AI57" s="109" t="str">
        <f>"13:field230:" &amp; IF(I57="■",1,IF(L57="■",2,0))</f>
        <v>13:field230:0</v>
      </c>
    </row>
    <row r="58" spans="1:35" s="109" customFormat="1" ht="18.75" customHeight="1" x14ac:dyDescent="0.2">
      <c r="A58" s="139"/>
      <c r="B58" s="598"/>
      <c r="C58" s="140"/>
      <c r="D58" s="141"/>
      <c r="E58" s="128"/>
      <c r="F58" s="142"/>
      <c r="G58" s="143"/>
      <c r="H58" s="597" t="s">
        <v>154</v>
      </c>
      <c r="I58" s="587" t="s">
        <v>383</v>
      </c>
      <c r="J58" s="157" t="s">
        <v>250</v>
      </c>
      <c r="K58" s="158"/>
      <c r="L58" s="160" t="s">
        <v>383</v>
      </c>
      <c r="M58" s="157" t="s">
        <v>267</v>
      </c>
      <c r="N58" s="157"/>
      <c r="O58" s="591"/>
      <c r="P58" s="591"/>
      <c r="Q58" s="591"/>
      <c r="R58" s="591"/>
      <c r="S58" s="591"/>
      <c r="T58" s="591"/>
      <c r="U58" s="591"/>
      <c r="V58" s="591"/>
      <c r="W58" s="591"/>
      <c r="X58" s="208"/>
      <c r="Y58" s="154"/>
      <c r="Z58" s="627"/>
      <c r="AA58" s="627"/>
      <c r="AB58" s="148"/>
      <c r="AC58" s="678"/>
      <c r="AD58" s="679"/>
      <c r="AE58" s="679"/>
      <c r="AF58" s="680"/>
      <c r="AI58" s="109" t="str">
        <f>"13:terminal_code:" &amp; IF(I58="■",1,IF(L58="■",2,0))</f>
        <v>13:terminal_code:0</v>
      </c>
    </row>
    <row r="59" spans="1:35" s="109" customFormat="1" ht="18.75" customHeight="1" x14ac:dyDescent="0.2">
      <c r="A59" s="139"/>
      <c r="B59" s="598"/>
      <c r="C59" s="140"/>
      <c r="D59" s="141"/>
      <c r="E59" s="128"/>
      <c r="F59" s="142"/>
      <c r="G59" s="143"/>
      <c r="H59" s="597" t="s">
        <v>437</v>
      </c>
      <c r="I59" s="587" t="s">
        <v>781</v>
      </c>
      <c r="J59" s="157" t="s">
        <v>250</v>
      </c>
      <c r="K59" s="158"/>
      <c r="L59" s="160" t="s">
        <v>383</v>
      </c>
      <c r="M59" s="157" t="s">
        <v>267</v>
      </c>
      <c r="N59" s="157"/>
      <c r="O59" s="591"/>
      <c r="P59" s="591"/>
      <c r="Q59" s="591"/>
      <c r="R59" s="591"/>
      <c r="S59" s="591"/>
      <c r="T59" s="591"/>
      <c r="U59" s="591"/>
      <c r="V59" s="591"/>
      <c r="W59" s="591"/>
      <c r="X59" s="208"/>
      <c r="Y59" s="154"/>
      <c r="Z59" s="627"/>
      <c r="AA59" s="627"/>
      <c r="AB59" s="148"/>
      <c r="AC59" s="678"/>
      <c r="AD59" s="679"/>
      <c r="AE59" s="679"/>
      <c r="AF59" s="680"/>
      <c r="AI59" s="109" t="str">
        <f>"13:field231:" &amp; IF(I59="■",1,IF(L59="■",2,0))</f>
        <v>13:field231:1</v>
      </c>
    </row>
    <row r="60" spans="1:35" s="109" customFormat="1" ht="18.75" customHeight="1" x14ac:dyDescent="0.2">
      <c r="A60" s="139"/>
      <c r="B60" s="598"/>
      <c r="C60" s="140"/>
      <c r="D60" s="141"/>
      <c r="E60" s="128"/>
      <c r="F60" s="142"/>
      <c r="G60" s="143"/>
      <c r="H60" s="597" t="s">
        <v>155</v>
      </c>
      <c r="I60" s="587" t="s">
        <v>383</v>
      </c>
      <c r="J60" s="157" t="s">
        <v>250</v>
      </c>
      <c r="K60" s="157"/>
      <c r="L60" s="160" t="s">
        <v>383</v>
      </c>
      <c r="M60" s="157" t="s">
        <v>268</v>
      </c>
      <c r="N60" s="157"/>
      <c r="O60" s="596" t="s">
        <v>383</v>
      </c>
      <c r="P60" s="157" t="s">
        <v>269</v>
      </c>
      <c r="Q60" s="591"/>
      <c r="R60" s="591"/>
      <c r="S60" s="591"/>
      <c r="T60" s="591"/>
      <c r="U60" s="591"/>
      <c r="V60" s="591"/>
      <c r="W60" s="591"/>
      <c r="X60" s="208"/>
      <c r="Y60" s="154"/>
      <c r="Z60" s="627"/>
      <c r="AA60" s="627"/>
      <c r="AB60" s="148"/>
      <c r="AC60" s="678"/>
      <c r="AD60" s="679"/>
      <c r="AE60" s="679"/>
      <c r="AF60" s="680"/>
      <c r="AI60" s="109" t="str">
        <f>"13:field169:" &amp; IF(I60="■",1,IF(L60="■",3,IF(O60="■",2,0)))</f>
        <v>13:field169:0</v>
      </c>
    </row>
    <row r="61" spans="1:35" s="109" customFormat="1" ht="19.5" customHeight="1" x14ac:dyDescent="0.2">
      <c r="A61" s="139"/>
      <c r="B61" s="123"/>
      <c r="C61" s="140"/>
      <c r="D61" s="141"/>
      <c r="E61" s="128"/>
      <c r="F61" s="142"/>
      <c r="G61" s="143"/>
      <c r="H61" s="155" t="s">
        <v>433</v>
      </c>
      <c r="I61" s="156" t="s">
        <v>383</v>
      </c>
      <c r="J61" s="157" t="s">
        <v>250</v>
      </c>
      <c r="K61" s="157"/>
      <c r="L61" s="160" t="s">
        <v>383</v>
      </c>
      <c r="M61" s="157" t="s">
        <v>267</v>
      </c>
      <c r="N61" s="157"/>
      <c r="O61" s="162"/>
      <c r="P61" s="157"/>
      <c r="Q61" s="162"/>
      <c r="R61" s="162"/>
      <c r="S61" s="162"/>
      <c r="T61" s="162"/>
      <c r="U61" s="162"/>
      <c r="V61" s="162"/>
      <c r="W61" s="162"/>
      <c r="X61" s="163"/>
      <c r="Y61" s="154"/>
      <c r="Z61" s="627"/>
      <c r="AA61" s="627"/>
      <c r="AB61" s="148"/>
      <c r="AC61" s="678"/>
      <c r="AD61" s="679"/>
      <c r="AE61" s="679"/>
      <c r="AF61" s="680"/>
      <c r="AI61" s="109" t="str">
        <f>"13:field224:" &amp; IF(I61="■",1,IF(L61="■",2,0))</f>
        <v>13:field224:0</v>
      </c>
    </row>
    <row r="62" spans="1:35" s="109" customFormat="1" ht="18.75" customHeight="1" x14ac:dyDescent="0.2">
      <c r="A62" s="139"/>
      <c r="B62" s="123"/>
      <c r="C62" s="140"/>
      <c r="D62" s="141"/>
      <c r="E62" s="128"/>
      <c r="F62" s="142"/>
      <c r="G62" s="143"/>
      <c r="H62" s="694" t="s">
        <v>153</v>
      </c>
      <c r="I62" s="175" t="s">
        <v>383</v>
      </c>
      <c r="J62" s="168" t="s">
        <v>250</v>
      </c>
      <c r="K62" s="172"/>
      <c r="L62" s="108"/>
      <c r="M62" s="108"/>
      <c r="N62" s="172"/>
      <c r="O62" s="172"/>
      <c r="P62" s="172"/>
      <c r="Q62" s="206" t="s">
        <v>383</v>
      </c>
      <c r="R62" s="168" t="s">
        <v>270</v>
      </c>
      <c r="S62" s="171"/>
      <c r="T62" s="126"/>
      <c r="U62" s="172"/>
      <c r="V62" s="172"/>
      <c r="W62" s="172"/>
      <c r="X62" s="209"/>
      <c r="Y62" s="154"/>
      <c r="Z62" s="627"/>
      <c r="AA62" s="627"/>
      <c r="AB62" s="148"/>
      <c r="AC62" s="678"/>
      <c r="AD62" s="679"/>
      <c r="AE62" s="679"/>
      <c r="AF62" s="680"/>
      <c r="AI62" s="109" t="str">
        <f>"13:serteikyo_kyoka_code:"&amp;IF(I62="■",1,IF(I63="■",2,IF(I64="■",3,IF(Q62="■",4,IF(Q63="■",5,0)))))</f>
        <v>13:serteikyo_kyoka_code:0</v>
      </c>
    </row>
    <row r="63" spans="1:35" s="109" customFormat="1" ht="18.75" customHeight="1" x14ac:dyDescent="0.2">
      <c r="A63" s="139"/>
      <c r="B63" s="607"/>
      <c r="C63" s="140"/>
      <c r="D63" s="141"/>
      <c r="E63" s="128"/>
      <c r="F63" s="142"/>
      <c r="G63" s="143"/>
      <c r="H63" s="692"/>
      <c r="I63" s="125" t="s">
        <v>383</v>
      </c>
      <c r="J63" s="126" t="s">
        <v>271</v>
      </c>
      <c r="K63" s="108"/>
      <c r="L63" s="108"/>
      <c r="M63" s="126"/>
      <c r="N63" s="108"/>
      <c r="O63" s="108"/>
      <c r="P63" s="108"/>
      <c r="Q63" s="118" t="s">
        <v>383</v>
      </c>
      <c r="R63" s="108" t="s">
        <v>272</v>
      </c>
      <c r="S63" s="171"/>
      <c r="T63" s="126"/>
      <c r="U63" s="108"/>
      <c r="V63" s="108"/>
      <c r="W63" s="108"/>
      <c r="X63" s="178"/>
      <c r="Y63" s="154"/>
      <c r="Z63" s="627"/>
      <c r="AA63" s="627"/>
      <c r="AB63" s="148"/>
      <c r="AC63" s="678"/>
      <c r="AD63" s="679"/>
      <c r="AE63" s="679"/>
      <c r="AF63" s="680"/>
    </row>
    <row r="64" spans="1:35" s="109" customFormat="1" ht="18.75" customHeight="1" x14ac:dyDescent="0.2">
      <c r="A64" s="139"/>
      <c r="B64" s="607"/>
      <c r="C64" s="140"/>
      <c r="D64" s="141"/>
      <c r="E64" s="128"/>
      <c r="F64" s="142"/>
      <c r="G64" s="143"/>
      <c r="H64" s="719"/>
      <c r="I64" s="639" t="s">
        <v>383</v>
      </c>
      <c r="J64" s="631" t="s">
        <v>273</v>
      </c>
      <c r="K64" s="632"/>
      <c r="L64" s="632"/>
      <c r="M64" s="632"/>
      <c r="N64" s="632"/>
      <c r="O64" s="631"/>
      <c r="P64" s="631"/>
      <c r="Q64" s="632"/>
      <c r="R64" s="632"/>
      <c r="S64" s="632"/>
      <c r="T64" s="632"/>
      <c r="U64" s="632"/>
      <c r="V64" s="632"/>
      <c r="W64" s="632"/>
      <c r="X64" s="146"/>
      <c r="Y64" s="154"/>
      <c r="Z64" s="627"/>
      <c r="AA64" s="627"/>
      <c r="AB64" s="148"/>
      <c r="AC64" s="678"/>
      <c r="AD64" s="679"/>
      <c r="AE64" s="679"/>
      <c r="AF64" s="680"/>
    </row>
    <row r="65" spans="1:36" s="621" customFormat="1" ht="18.75" customHeight="1" x14ac:dyDescent="0.2">
      <c r="A65" s="139"/>
      <c r="B65" s="607"/>
      <c r="C65" s="140"/>
      <c r="D65" s="141"/>
      <c r="E65" s="128"/>
      <c r="F65" s="142"/>
      <c r="G65" s="143"/>
      <c r="H65" s="633" t="s">
        <v>790</v>
      </c>
      <c r="I65" s="629" t="s">
        <v>383</v>
      </c>
      <c r="J65" s="634" t="s">
        <v>627</v>
      </c>
      <c r="K65" s="634"/>
      <c r="L65" s="629" t="s">
        <v>383</v>
      </c>
      <c r="M65" s="634" t="s">
        <v>635</v>
      </c>
      <c r="N65" s="635"/>
      <c r="O65" s="636"/>
      <c r="P65" s="636"/>
      <c r="Q65" s="635"/>
      <c r="R65" s="635"/>
      <c r="S65" s="635"/>
      <c r="T65" s="635"/>
      <c r="U65" s="635"/>
      <c r="V65" s="635"/>
      <c r="W65" s="635"/>
      <c r="X65" s="637"/>
      <c r="Y65" s="194"/>
      <c r="Z65" s="192"/>
      <c r="AA65" s="192"/>
      <c r="AB65" s="193"/>
      <c r="AC65" s="722"/>
      <c r="AD65" s="723"/>
      <c r="AE65" s="723"/>
      <c r="AF65" s="724"/>
    </row>
    <row r="66" spans="1:36" s="109" customFormat="1" ht="19.5" customHeight="1" x14ac:dyDescent="0.2">
      <c r="A66" s="129"/>
      <c r="B66" s="593"/>
      <c r="C66" s="130"/>
      <c r="D66" s="131"/>
      <c r="E66" s="121"/>
      <c r="F66" s="132"/>
      <c r="G66" s="133"/>
      <c r="H66" s="195" t="s">
        <v>430</v>
      </c>
      <c r="I66" s="196" t="s">
        <v>383</v>
      </c>
      <c r="J66" s="197" t="s">
        <v>395</v>
      </c>
      <c r="K66" s="198"/>
      <c r="L66" s="199"/>
      <c r="M66" s="200" t="s">
        <v>383</v>
      </c>
      <c r="N66" s="197" t="s">
        <v>431</v>
      </c>
      <c r="O66" s="205"/>
      <c r="P66" s="197"/>
      <c r="Q66" s="201"/>
      <c r="R66" s="201"/>
      <c r="S66" s="201"/>
      <c r="T66" s="201"/>
      <c r="U66" s="201"/>
      <c r="V66" s="201"/>
      <c r="W66" s="201"/>
      <c r="X66" s="202"/>
      <c r="Y66" s="595" t="s">
        <v>383</v>
      </c>
      <c r="Z66" s="119" t="s">
        <v>249</v>
      </c>
      <c r="AA66" s="119"/>
      <c r="AB66" s="137"/>
      <c r="AC66" s="675"/>
      <c r="AD66" s="676"/>
      <c r="AE66" s="676"/>
      <c r="AF66" s="677"/>
      <c r="AG66" s="109" t="str">
        <f>"ser_code = '" &amp; IF(A72="■",14,"") &amp; "'"</f>
        <v>ser_code = ''</v>
      </c>
      <c r="AI66" s="109" t="str">
        <f>"14:field223:" &amp; IF(I66="■",1,IF(M66="■",2,0))</f>
        <v>14:field223:0</v>
      </c>
      <c r="AJ66" s="109" t="str">
        <f>"14:field203:" &amp; IF(Y66="■",1,IF(Y67="■",2,0))</f>
        <v>14:field203:0</v>
      </c>
    </row>
    <row r="67" spans="1:36" s="109" customFormat="1" ht="19.5" customHeight="1" x14ac:dyDescent="0.2">
      <c r="A67" s="139"/>
      <c r="B67" s="598"/>
      <c r="C67" s="140"/>
      <c r="D67" s="141"/>
      <c r="E67" s="128"/>
      <c r="F67" s="142"/>
      <c r="G67" s="143"/>
      <c r="H67" s="348" t="s">
        <v>448</v>
      </c>
      <c r="I67" s="349" t="s">
        <v>383</v>
      </c>
      <c r="J67" s="350" t="s">
        <v>395</v>
      </c>
      <c r="K67" s="351"/>
      <c r="L67" s="352"/>
      <c r="M67" s="353" t="s">
        <v>383</v>
      </c>
      <c r="N67" s="350" t="s">
        <v>431</v>
      </c>
      <c r="O67" s="354"/>
      <c r="P67" s="350"/>
      <c r="Q67" s="355"/>
      <c r="R67" s="355"/>
      <c r="S67" s="355"/>
      <c r="T67" s="355"/>
      <c r="U67" s="355"/>
      <c r="V67" s="355"/>
      <c r="W67" s="355"/>
      <c r="X67" s="356"/>
      <c r="Y67" s="596" t="s">
        <v>383</v>
      </c>
      <c r="Z67" s="126" t="s">
        <v>255</v>
      </c>
      <c r="AA67" s="147"/>
      <c r="AB67" s="148"/>
      <c r="AC67" s="678"/>
      <c r="AD67" s="679"/>
      <c r="AE67" s="679"/>
      <c r="AF67" s="680"/>
      <c r="AG67" s="109" t="str">
        <f>"14:sisetukbn_code:" &amp; IF(D71="■",1,IF(D72="■",2,IF(D73="■",3,0)))</f>
        <v>14:sisetukbn_code:0</v>
      </c>
      <c r="AI67" s="109" t="str">
        <f>"14:field232:" &amp; IF(I67="■",1,IF(M67="■",2,0))</f>
        <v>14:field232:0</v>
      </c>
    </row>
    <row r="68" spans="1:36" s="109" customFormat="1" ht="19.5" customHeight="1" x14ac:dyDescent="0.2">
      <c r="A68" s="139"/>
      <c r="B68" s="598"/>
      <c r="C68" s="140"/>
      <c r="D68" s="141"/>
      <c r="E68" s="128"/>
      <c r="F68" s="142"/>
      <c r="G68" s="143"/>
      <c r="H68" s="586" t="s">
        <v>137</v>
      </c>
      <c r="I68" s="594" t="s">
        <v>781</v>
      </c>
      <c r="J68" s="169" t="s">
        <v>250</v>
      </c>
      <c r="K68" s="179"/>
      <c r="L68" s="596" t="s">
        <v>383</v>
      </c>
      <c r="M68" s="169" t="s">
        <v>267</v>
      </c>
      <c r="N68" s="169"/>
      <c r="O68" s="169"/>
      <c r="P68" s="169"/>
      <c r="Q68" s="152"/>
      <c r="R68" s="152"/>
      <c r="S68" s="152"/>
      <c r="T68" s="152"/>
      <c r="U68" s="152"/>
      <c r="V68" s="152"/>
      <c r="W68" s="152"/>
      <c r="X68" s="153"/>
      <c r="Y68" s="592"/>
      <c r="Z68" s="126"/>
      <c r="AA68" s="147"/>
      <c r="AB68" s="148"/>
      <c r="AC68" s="678"/>
      <c r="AD68" s="679"/>
      <c r="AE68" s="679"/>
      <c r="AF68" s="680"/>
      <c r="AI68" s="109" t="str">
        <f>"14:tokutiiki_code:" &amp; IF(I68="■",1,IF(L68="■",2,0))</f>
        <v>14:tokutiiki_code:1</v>
      </c>
    </row>
    <row r="69" spans="1:36" s="109" customFormat="1" ht="18.75" customHeight="1" x14ac:dyDescent="0.2">
      <c r="A69" s="139"/>
      <c r="B69" s="598"/>
      <c r="C69" s="140"/>
      <c r="D69" s="141"/>
      <c r="E69" s="128"/>
      <c r="F69" s="142"/>
      <c r="G69" s="143"/>
      <c r="H69" s="694" t="s">
        <v>209</v>
      </c>
      <c r="I69" s="715" t="s">
        <v>781</v>
      </c>
      <c r="J69" s="708" t="s">
        <v>256</v>
      </c>
      <c r="K69" s="708"/>
      <c r="L69" s="708"/>
      <c r="M69" s="707" t="s">
        <v>383</v>
      </c>
      <c r="N69" s="708" t="s">
        <v>257</v>
      </c>
      <c r="O69" s="708"/>
      <c r="P69" s="708"/>
      <c r="Q69" s="181"/>
      <c r="R69" s="181"/>
      <c r="S69" s="181"/>
      <c r="T69" s="181"/>
      <c r="U69" s="181"/>
      <c r="V69" s="181"/>
      <c r="W69" s="181"/>
      <c r="X69" s="182"/>
      <c r="Y69" s="592"/>
      <c r="Z69" s="592"/>
      <c r="AA69" s="592"/>
      <c r="AB69" s="148"/>
      <c r="AC69" s="678"/>
      <c r="AD69" s="679"/>
      <c r="AE69" s="679"/>
      <c r="AF69" s="680"/>
      <c r="AI69" s="109" t="str">
        <f>"14:chuusankanti_tiiki_code:" &amp; IF(I69="■",1,IF(M69="■",2,0))</f>
        <v>14:chuusankanti_tiiki_code:1</v>
      </c>
    </row>
    <row r="70" spans="1:36" s="109" customFormat="1" ht="18.75" customHeight="1" x14ac:dyDescent="0.2">
      <c r="A70" s="139"/>
      <c r="B70" s="598"/>
      <c r="C70" s="140"/>
      <c r="D70" s="141"/>
      <c r="E70" s="128"/>
      <c r="F70" s="142"/>
      <c r="G70" s="143"/>
      <c r="H70" s="693"/>
      <c r="I70" s="716"/>
      <c r="J70" s="698"/>
      <c r="K70" s="698"/>
      <c r="L70" s="698"/>
      <c r="M70" s="696"/>
      <c r="N70" s="698"/>
      <c r="O70" s="698"/>
      <c r="P70" s="698"/>
      <c r="Q70" s="152"/>
      <c r="R70" s="152"/>
      <c r="S70" s="152"/>
      <c r="T70" s="152"/>
      <c r="U70" s="152"/>
      <c r="V70" s="152"/>
      <c r="W70" s="152"/>
      <c r="X70" s="153"/>
      <c r="Y70" s="154"/>
      <c r="Z70" s="147"/>
      <c r="AA70" s="147"/>
      <c r="AB70" s="148"/>
      <c r="AC70" s="678"/>
      <c r="AD70" s="679"/>
      <c r="AE70" s="679"/>
      <c r="AF70" s="680"/>
    </row>
    <row r="71" spans="1:36" s="109" customFormat="1" ht="18.75" customHeight="1" x14ac:dyDescent="0.2">
      <c r="A71" s="139"/>
      <c r="B71" s="598"/>
      <c r="C71" s="140"/>
      <c r="D71" s="596" t="s">
        <v>383</v>
      </c>
      <c r="E71" s="128" t="s">
        <v>278</v>
      </c>
      <c r="F71" s="142"/>
      <c r="G71" s="143"/>
      <c r="H71" s="694" t="s">
        <v>210</v>
      </c>
      <c r="I71" s="715" t="s">
        <v>781</v>
      </c>
      <c r="J71" s="708" t="s">
        <v>256</v>
      </c>
      <c r="K71" s="708"/>
      <c r="L71" s="708"/>
      <c r="M71" s="707" t="s">
        <v>383</v>
      </c>
      <c r="N71" s="708" t="s">
        <v>257</v>
      </c>
      <c r="O71" s="708"/>
      <c r="P71" s="708"/>
      <c r="Q71" s="181"/>
      <c r="R71" s="181"/>
      <c r="S71" s="181"/>
      <c r="T71" s="181"/>
      <c r="U71" s="181"/>
      <c r="V71" s="181"/>
      <c r="W71" s="181"/>
      <c r="X71" s="182"/>
      <c r="Y71" s="154"/>
      <c r="Z71" s="147"/>
      <c r="AA71" s="147"/>
      <c r="AB71" s="148"/>
      <c r="AC71" s="678"/>
      <c r="AD71" s="679"/>
      <c r="AE71" s="679"/>
      <c r="AF71" s="680"/>
      <c r="AI71" s="109" t="str">
        <f>"14:chuusankanti_kibo_code:" &amp; IF(I71="■",1,IF(M71="■",2,0))</f>
        <v>14:chuusankanti_kibo_code:1</v>
      </c>
    </row>
    <row r="72" spans="1:36" s="109" customFormat="1" ht="18.75" customHeight="1" x14ac:dyDescent="0.2">
      <c r="A72" s="594" t="s">
        <v>383</v>
      </c>
      <c r="B72" s="598">
        <v>14</v>
      </c>
      <c r="C72" s="140" t="s">
        <v>92</v>
      </c>
      <c r="D72" s="596" t="s">
        <v>383</v>
      </c>
      <c r="E72" s="128" t="s">
        <v>279</v>
      </c>
      <c r="F72" s="142"/>
      <c r="G72" s="143"/>
      <c r="H72" s="693"/>
      <c r="I72" s="716"/>
      <c r="J72" s="698"/>
      <c r="K72" s="698"/>
      <c r="L72" s="698"/>
      <c r="M72" s="696"/>
      <c r="N72" s="698"/>
      <c r="O72" s="698"/>
      <c r="P72" s="698"/>
      <c r="Q72" s="152"/>
      <c r="R72" s="152"/>
      <c r="S72" s="152"/>
      <c r="T72" s="152"/>
      <c r="U72" s="152"/>
      <c r="V72" s="152"/>
      <c r="W72" s="152"/>
      <c r="X72" s="153"/>
      <c r="Y72" s="154"/>
      <c r="Z72" s="147"/>
      <c r="AA72" s="147"/>
      <c r="AB72" s="148"/>
      <c r="AC72" s="678"/>
      <c r="AD72" s="679"/>
      <c r="AE72" s="679"/>
      <c r="AF72" s="680"/>
    </row>
    <row r="73" spans="1:36" s="109" customFormat="1" ht="19.5" customHeight="1" x14ac:dyDescent="0.2">
      <c r="A73" s="139"/>
      <c r="B73" s="598"/>
      <c r="C73" s="140"/>
      <c r="D73" s="596" t="s">
        <v>383</v>
      </c>
      <c r="E73" s="128" t="s">
        <v>280</v>
      </c>
      <c r="F73" s="142"/>
      <c r="G73" s="143"/>
      <c r="H73" s="585" t="s">
        <v>156</v>
      </c>
      <c r="I73" s="587" t="s">
        <v>383</v>
      </c>
      <c r="J73" s="168" t="s">
        <v>250</v>
      </c>
      <c r="K73" s="168"/>
      <c r="L73" s="214"/>
      <c r="M73" s="589" t="s">
        <v>383</v>
      </c>
      <c r="N73" s="168" t="s">
        <v>467</v>
      </c>
      <c r="O73" s="215"/>
      <c r="P73" s="216"/>
      <c r="Q73" s="341" t="s">
        <v>383</v>
      </c>
      <c r="R73" s="217" t="s">
        <v>468</v>
      </c>
      <c r="S73" s="217"/>
      <c r="T73" s="217"/>
      <c r="U73" s="218"/>
      <c r="V73" s="217"/>
      <c r="W73" s="217"/>
      <c r="X73" s="219"/>
      <c r="Y73" s="154"/>
      <c r="Z73" s="147"/>
      <c r="AA73" s="147"/>
      <c r="AB73" s="148"/>
      <c r="AC73" s="678"/>
      <c r="AD73" s="679"/>
      <c r="AE73" s="679"/>
      <c r="AF73" s="680"/>
      <c r="AI73" s="109" t="str">
        <f>"14:field149:" &amp; IF(I73="■",1,IF(Q73="■",6,IF(M73="■",3,0)))</f>
        <v>14:field149:0</v>
      </c>
    </row>
    <row r="74" spans="1:36" s="109" customFormat="1" ht="19.5" customHeight="1" x14ac:dyDescent="0.2">
      <c r="A74" s="139"/>
      <c r="B74" s="598"/>
      <c r="C74" s="140"/>
      <c r="D74" s="171"/>
      <c r="E74" s="128"/>
      <c r="F74" s="142"/>
      <c r="G74" s="143"/>
      <c r="H74" s="694" t="s">
        <v>438</v>
      </c>
      <c r="I74" s="709" t="s">
        <v>383</v>
      </c>
      <c r="J74" s="708" t="s">
        <v>250</v>
      </c>
      <c r="K74" s="708"/>
      <c r="L74" s="717" t="s">
        <v>383</v>
      </c>
      <c r="M74" s="708" t="s">
        <v>267</v>
      </c>
      <c r="N74" s="708"/>
      <c r="O74" s="126"/>
      <c r="P74" s="220"/>
      <c r="Q74" s="220"/>
      <c r="R74" s="220"/>
      <c r="S74" s="592"/>
      <c r="T74" s="592"/>
      <c r="U74" s="220"/>
      <c r="V74" s="220"/>
      <c r="W74" s="592"/>
      <c r="X74" s="178"/>
      <c r="Y74" s="154"/>
      <c r="Z74" s="147"/>
      <c r="AA74" s="147"/>
      <c r="AB74" s="148"/>
      <c r="AC74" s="678"/>
      <c r="AD74" s="679"/>
      <c r="AE74" s="679"/>
      <c r="AF74" s="680"/>
      <c r="AI74" s="109" t="str">
        <f>"14:field239:" &amp; IF(I74="■",1,IF(L74="■",2,0))</f>
        <v>14:field239:0</v>
      </c>
    </row>
    <row r="75" spans="1:36" s="109" customFormat="1" ht="19.5" customHeight="1" x14ac:dyDescent="0.2">
      <c r="A75" s="139"/>
      <c r="B75" s="598"/>
      <c r="C75" s="140"/>
      <c r="D75" s="171"/>
      <c r="E75" s="128"/>
      <c r="F75" s="142"/>
      <c r="G75" s="143"/>
      <c r="H75" s="693"/>
      <c r="I75" s="710"/>
      <c r="J75" s="698"/>
      <c r="K75" s="698"/>
      <c r="L75" s="718"/>
      <c r="M75" s="698"/>
      <c r="N75" s="698"/>
      <c r="O75" s="126"/>
      <c r="P75" s="220"/>
      <c r="Q75" s="584"/>
      <c r="R75" s="584"/>
      <c r="S75" s="592"/>
      <c r="T75" s="592"/>
      <c r="U75" s="584"/>
      <c r="V75" s="584"/>
      <c r="W75" s="592"/>
      <c r="X75" s="178"/>
      <c r="Y75" s="154"/>
      <c r="Z75" s="147"/>
      <c r="AA75" s="147"/>
      <c r="AB75" s="148"/>
      <c r="AC75" s="678"/>
      <c r="AD75" s="679"/>
      <c r="AE75" s="679"/>
      <c r="AF75" s="680"/>
    </row>
    <row r="76" spans="1:36" s="109" customFormat="1" ht="19.5" customHeight="1" x14ac:dyDescent="0.2">
      <c r="A76" s="139"/>
      <c r="B76" s="598"/>
      <c r="C76" s="140"/>
      <c r="D76" s="141"/>
      <c r="E76" s="128"/>
      <c r="F76" s="142"/>
      <c r="G76" s="143"/>
      <c r="H76" s="155" t="s">
        <v>433</v>
      </c>
      <c r="I76" s="156" t="s">
        <v>383</v>
      </c>
      <c r="J76" s="157" t="s">
        <v>250</v>
      </c>
      <c r="K76" s="157"/>
      <c r="L76" s="160" t="s">
        <v>383</v>
      </c>
      <c r="M76" s="157" t="s">
        <v>267</v>
      </c>
      <c r="N76" s="157"/>
      <c r="O76" s="162"/>
      <c r="P76" s="157"/>
      <c r="Q76" s="162"/>
      <c r="R76" s="162"/>
      <c r="S76" s="162"/>
      <c r="T76" s="162"/>
      <c r="U76" s="162"/>
      <c r="V76" s="162"/>
      <c r="W76" s="162"/>
      <c r="X76" s="163"/>
      <c r="Y76" s="147"/>
      <c r="Z76" s="147"/>
      <c r="AA76" s="147"/>
      <c r="AB76" s="148"/>
      <c r="AC76" s="678"/>
      <c r="AD76" s="679"/>
      <c r="AE76" s="679"/>
      <c r="AF76" s="680"/>
      <c r="AI76" s="109" t="str">
        <f>"14:field224:" &amp; IF(I76="■",1,IF(L76="■",2,0))</f>
        <v>14:field224:0</v>
      </c>
    </row>
    <row r="77" spans="1:36" s="109" customFormat="1" ht="19.5" customHeight="1" x14ac:dyDescent="0.2">
      <c r="A77" s="139"/>
      <c r="B77" s="598"/>
      <c r="C77" s="140"/>
      <c r="D77" s="141"/>
      <c r="E77" s="128"/>
      <c r="F77" s="142"/>
      <c r="G77" s="143"/>
      <c r="H77" s="597" t="s">
        <v>229</v>
      </c>
      <c r="I77" s="587" t="s">
        <v>383</v>
      </c>
      <c r="J77" s="157" t="s">
        <v>250</v>
      </c>
      <c r="K77" s="158"/>
      <c r="L77" s="160" t="s">
        <v>383</v>
      </c>
      <c r="M77" s="157" t="s">
        <v>267</v>
      </c>
      <c r="N77" s="157"/>
      <c r="O77" s="162"/>
      <c r="P77" s="162"/>
      <c r="Q77" s="162"/>
      <c r="R77" s="162"/>
      <c r="S77" s="162"/>
      <c r="T77" s="162"/>
      <c r="U77" s="162"/>
      <c r="V77" s="162"/>
      <c r="W77" s="162"/>
      <c r="X77" s="163"/>
      <c r="Y77" s="154"/>
      <c r="Z77" s="147"/>
      <c r="AA77" s="147"/>
      <c r="AB77" s="148"/>
      <c r="AC77" s="678"/>
      <c r="AD77" s="679"/>
      <c r="AE77" s="679"/>
      <c r="AF77" s="680"/>
      <c r="AI77" s="109" t="str">
        <f>"14:field150:" &amp; IF(I77="■",1,IF(L77="■",2,0))</f>
        <v>14:field150:0</v>
      </c>
    </row>
    <row r="78" spans="1:36" s="109" customFormat="1" ht="19.5" customHeight="1" x14ac:dyDescent="0.2">
      <c r="A78" s="139"/>
      <c r="B78" s="607"/>
      <c r="C78" s="140"/>
      <c r="D78" s="141"/>
      <c r="E78" s="128"/>
      <c r="F78" s="142"/>
      <c r="G78" s="143"/>
      <c r="H78" s="599" t="s">
        <v>153</v>
      </c>
      <c r="I78" s="600" t="s">
        <v>383</v>
      </c>
      <c r="J78" s="168" t="s">
        <v>250</v>
      </c>
      <c r="K78" s="168"/>
      <c r="L78" s="602" t="s">
        <v>383</v>
      </c>
      <c r="M78" s="168" t="s">
        <v>268</v>
      </c>
      <c r="N78" s="168"/>
      <c r="O78" s="602" t="s">
        <v>383</v>
      </c>
      <c r="P78" s="168" t="s">
        <v>277</v>
      </c>
      <c r="Q78" s="251"/>
      <c r="R78" s="251"/>
      <c r="S78" s="251"/>
      <c r="T78" s="251"/>
      <c r="U78" s="251"/>
      <c r="V78" s="251"/>
      <c r="W78" s="251"/>
      <c r="X78" s="252"/>
      <c r="Y78" s="147"/>
      <c r="Z78" s="147"/>
      <c r="AA78" s="147"/>
      <c r="AB78" s="148"/>
      <c r="AC78" s="678"/>
      <c r="AD78" s="679"/>
      <c r="AE78" s="679"/>
      <c r="AF78" s="680"/>
      <c r="AI78" s="109" t="str">
        <f>"14:serteikyo_kyoka_code:" &amp; IF(I78="■",1,IF(L78="■",3,IF(O78="■",4,0)))</f>
        <v>14:serteikyo_kyoka_code:0</v>
      </c>
    </row>
    <row r="79" spans="1:36" s="621" customFormat="1" ht="19.5" customHeight="1" x14ac:dyDescent="0.2">
      <c r="A79" s="139"/>
      <c r="B79" s="607"/>
      <c r="C79" s="140"/>
      <c r="D79" s="141"/>
      <c r="E79" s="128"/>
      <c r="F79" s="142"/>
      <c r="G79" s="143"/>
      <c r="H79" s="633" t="s">
        <v>790</v>
      </c>
      <c r="I79" s="606" t="s">
        <v>383</v>
      </c>
      <c r="J79" s="623" t="s">
        <v>627</v>
      </c>
      <c r="K79" s="623"/>
      <c r="L79" s="211" t="s">
        <v>383</v>
      </c>
      <c r="M79" s="623" t="s">
        <v>635</v>
      </c>
      <c r="N79" s="625"/>
      <c r="O79" s="630"/>
      <c r="P79" s="630"/>
      <c r="Q79" s="625"/>
      <c r="R79" s="625"/>
      <c r="S79" s="625"/>
      <c r="T79" s="625"/>
      <c r="U79" s="625"/>
      <c r="V79" s="625"/>
      <c r="W79" s="625"/>
      <c r="X79" s="626"/>
      <c r="Y79" s="154"/>
      <c r="Z79" s="147"/>
      <c r="AA79" s="147"/>
      <c r="AB79" s="148"/>
      <c r="AC79" s="722"/>
      <c r="AD79" s="723"/>
      <c r="AE79" s="723"/>
      <c r="AF79" s="724"/>
    </row>
    <row r="80" spans="1:36" s="109" customFormat="1" ht="18.75" customHeight="1" x14ac:dyDescent="0.2">
      <c r="A80" s="129"/>
      <c r="B80" s="116"/>
      <c r="C80" s="130"/>
      <c r="D80" s="131"/>
      <c r="E80" s="225"/>
      <c r="F80" s="131"/>
      <c r="G80" s="116"/>
      <c r="H80" s="226" t="s">
        <v>137</v>
      </c>
      <c r="I80" s="196" t="s">
        <v>781</v>
      </c>
      <c r="J80" s="197" t="s">
        <v>250</v>
      </c>
      <c r="K80" s="198"/>
      <c r="L80" s="200" t="s">
        <v>383</v>
      </c>
      <c r="M80" s="197" t="s">
        <v>267</v>
      </c>
      <c r="N80" s="197"/>
      <c r="O80" s="197"/>
      <c r="P80" s="197"/>
      <c r="Q80" s="201"/>
      <c r="R80" s="201"/>
      <c r="S80" s="201"/>
      <c r="T80" s="201"/>
      <c r="U80" s="201"/>
      <c r="V80" s="201"/>
      <c r="W80" s="201"/>
      <c r="X80" s="202"/>
      <c r="Y80" s="134" t="s">
        <v>383</v>
      </c>
      <c r="Z80" s="119" t="s">
        <v>249</v>
      </c>
      <c r="AA80" s="119"/>
      <c r="AB80" s="137"/>
      <c r="AC80" s="675"/>
      <c r="AD80" s="676"/>
      <c r="AE80" s="676"/>
      <c r="AF80" s="677"/>
      <c r="AG80" s="109" t="str">
        <f>"ser_code = '" &amp; IF(A83="■",31,"") &amp; "'"</f>
        <v>ser_code = ''</v>
      </c>
      <c r="AI80" s="109" t="str">
        <f>"31:tokutiiki_code:" &amp; IF(I80="■",1,IF(L80="■",2,0))</f>
        <v>31:tokutiiki_code:1</v>
      </c>
      <c r="AJ80" s="109" t="str">
        <f>"31:field203:" &amp; IF(Y80="■",1,IF(Y81="■",2,0))</f>
        <v>31:field203:0</v>
      </c>
    </row>
    <row r="81" spans="1:37" s="109" customFormat="1" ht="18.75" customHeight="1" x14ac:dyDescent="0.2">
      <c r="A81" s="174"/>
      <c r="B81" s="123"/>
      <c r="C81" s="140"/>
      <c r="D81" s="141"/>
      <c r="E81" s="178"/>
      <c r="F81" s="141"/>
      <c r="G81" s="123"/>
      <c r="H81" s="694" t="s">
        <v>209</v>
      </c>
      <c r="I81" s="707" t="s">
        <v>781</v>
      </c>
      <c r="J81" s="708" t="s">
        <v>256</v>
      </c>
      <c r="K81" s="708"/>
      <c r="L81" s="708"/>
      <c r="M81" s="707" t="s">
        <v>383</v>
      </c>
      <c r="N81" s="708" t="s">
        <v>257</v>
      </c>
      <c r="O81" s="708"/>
      <c r="P81" s="708"/>
      <c r="Q81" s="181"/>
      <c r="R81" s="181"/>
      <c r="S81" s="181"/>
      <c r="T81" s="181"/>
      <c r="U81" s="181"/>
      <c r="V81" s="181"/>
      <c r="W81" s="181"/>
      <c r="X81" s="182"/>
      <c r="Y81" s="118" t="s">
        <v>383</v>
      </c>
      <c r="Z81" s="126" t="s">
        <v>255</v>
      </c>
      <c r="AA81" s="126"/>
      <c r="AB81" s="148"/>
      <c r="AC81" s="678"/>
      <c r="AD81" s="679"/>
      <c r="AE81" s="679"/>
      <c r="AF81" s="680"/>
      <c r="AI81" s="109" t="str">
        <f>"31:chuusankanti_tiiki_code:" &amp; IF(I81="■",1,IF(M81="■",2,0))</f>
        <v>31:chuusankanti_tiiki_code:1</v>
      </c>
    </row>
    <row r="82" spans="1:37" s="109" customFormat="1" ht="18.75" customHeight="1" x14ac:dyDescent="0.2">
      <c r="A82" s="174"/>
      <c r="B82" s="123"/>
      <c r="C82" s="140"/>
      <c r="D82" s="141"/>
      <c r="E82" s="178"/>
      <c r="F82" s="141"/>
      <c r="G82" s="123"/>
      <c r="H82" s="693"/>
      <c r="I82" s="696"/>
      <c r="J82" s="698"/>
      <c r="K82" s="698"/>
      <c r="L82" s="698"/>
      <c r="M82" s="696"/>
      <c r="N82" s="698"/>
      <c r="O82" s="698"/>
      <c r="P82" s="698"/>
      <c r="Q82" s="152"/>
      <c r="R82" s="152"/>
      <c r="S82" s="152"/>
      <c r="T82" s="152"/>
      <c r="U82" s="152"/>
      <c r="V82" s="152"/>
      <c r="W82" s="152"/>
      <c r="X82" s="153"/>
      <c r="Y82" s="154"/>
      <c r="Z82" s="147"/>
      <c r="AA82" s="147"/>
      <c r="AB82" s="148"/>
      <c r="AC82" s="678"/>
      <c r="AD82" s="679"/>
      <c r="AE82" s="679"/>
      <c r="AF82" s="680"/>
    </row>
    <row r="83" spans="1:37" s="109" customFormat="1" ht="18.75" customHeight="1" x14ac:dyDescent="0.2">
      <c r="A83" s="125" t="s">
        <v>383</v>
      </c>
      <c r="B83" s="123">
        <v>31</v>
      </c>
      <c r="C83" s="140" t="s">
        <v>143</v>
      </c>
      <c r="D83" s="141"/>
      <c r="E83" s="178"/>
      <c r="F83" s="141"/>
      <c r="G83" s="123"/>
      <c r="H83" s="694" t="s">
        <v>210</v>
      </c>
      <c r="I83" s="715" t="s">
        <v>781</v>
      </c>
      <c r="J83" s="708" t="s">
        <v>256</v>
      </c>
      <c r="K83" s="708"/>
      <c r="L83" s="708"/>
      <c r="M83" s="707" t="s">
        <v>383</v>
      </c>
      <c r="N83" s="708" t="s">
        <v>257</v>
      </c>
      <c r="O83" s="708"/>
      <c r="P83" s="708"/>
      <c r="Q83" s="181"/>
      <c r="R83" s="181"/>
      <c r="S83" s="181"/>
      <c r="T83" s="181"/>
      <c r="U83" s="181"/>
      <c r="V83" s="181"/>
      <c r="W83" s="181"/>
      <c r="X83" s="182"/>
      <c r="Y83" s="154"/>
      <c r="Z83" s="147"/>
      <c r="AA83" s="147"/>
      <c r="AB83" s="148"/>
      <c r="AC83" s="678"/>
      <c r="AD83" s="679"/>
      <c r="AE83" s="679"/>
      <c r="AF83" s="680"/>
      <c r="AI83" s="109" t="str">
        <f>"31:chuusankanti_kibo_code:" &amp; IF(I83="■",1,IF(M83="■",2,0))</f>
        <v>31:chuusankanti_kibo_code:1</v>
      </c>
    </row>
    <row r="84" spans="1:37" s="109" customFormat="1" ht="18.75" customHeight="1" x14ac:dyDescent="0.2">
      <c r="A84" s="139"/>
      <c r="B84" s="123"/>
      <c r="C84" s="140"/>
      <c r="D84" s="141"/>
      <c r="E84" s="178"/>
      <c r="F84" s="141"/>
      <c r="G84" s="123"/>
      <c r="H84" s="693"/>
      <c r="I84" s="716"/>
      <c r="J84" s="698"/>
      <c r="K84" s="698"/>
      <c r="L84" s="698"/>
      <c r="M84" s="696"/>
      <c r="N84" s="698"/>
      <c r="O84" s="698"/>
      <c r="P84" s="698"/>
      <c r="Q84" s="152"/>
      <c r="R84" s="152"/>
      <c r="S84" s="152"/>
      <c r="T84" s="152"/>
      <c r="U84" s="152"/>
      <c r="V84" s="152"/>
      <c r="W84" s="152"/>
      <c r="X84" s="153"/>
      <c r="Y84" s="154"/>
      <c r="Z84" s="147"/>
      <c r="AA84" s="147"/>
      <c r="AB84" s="148"/>
      <c r="AC84" s="678"/>
      <c r="AD84" s="679"/>
      <c r="AE84" s="679"/>
      <c r="AF84" s="680"/>
    </row>
    <row r="85" spans="1:37" s="109" customFormat="1" ht="18.75" customHeight="1" x14ac:dyDescent="0.2">
      <c r="A85" s="139"/>
      <c r="B85" s="123"/>
      <c r="C85" s="140"/>
      <c r="D85" s="141"/>
      <c r="E85" s="178"/>
      <c r="F85" s="141"/>
      <c r="G85" s="123"/>
      <c r="H85" s="227" t="s">
        <v>439</v>
      </c>
      <c r="I85" s="125" t="s">
        <v>383</v>
      </c>
      <c r="J85" s="169" t="s">
        <v>250</v>
      </c>
      <c r="K85" s="179"/>
      <c r="L85" s="203" t="s">
        <v>383</v>
      </c>
      <c r="M85" s="169" t="s">
        <v>267</v>
      </c>
      <c r="N85" s="169"/>
      <c r="O85" s="169"/>
      <c r="P85" s="169"/>
      <c r="Q85" s="152"/>
      <c r="R85" s="152"/>
      <c r="S85" s="152"/>
      <c r="T85" s="152"/>
      <c r="U85" s="152"/>
      <c r="V85" s="152"/>
      <c r="W85" s="152"/>
      <c r="X85" s="153"/>
      <c r="Y85" s="154"/>
      <c r="Z85" s="147"/>
      <c r="AA85" s="147"/>
      <c r="AB85" s="148"/>
      <c r="AC85" s="678"/>
      <c r="AD85" s="679"/>
      <c r="AE85" s="679"/>
      <c r="AF85" s="680"/>
      <c r="AI85" s="109" t="str">
        <f>"31:field240:" &amp; IF(I85="■",1,IF(L85="■",2,0))</f>
        <v>31:field240:0</v>
      </c>
    </row>
    <row r="86" spans="1:37" s="109" customFormat="1" ht="18.75" customHeight="1" x14ac:dyDescent="0.2">
      <c r="A86" s="183"/>
      <c r="B86" s="184"/>
      <c r="C86" s="185"/>
      <c r="D86" s="186"/>
      <c r="E86" s="228"/>
      <c r="F86" s="186"/>
      <c r="G86" s="184"/>
      <c r="H86" s="229" t="s">
        <v>440</v>
      </c>
      <c r="I86" s="190" t="s">
        <v>383</v>
      </c>
      <c r="J86" s="222" t="s">
        <v>250</v>
      </c>
      <c r="K86" s="230"/>
      <c r="L86" s="191" t="s">
        <v>383</v>
      </c>
      <c r="M86" s="222" t="s">
        <v>267</v>
      </c>
      <c r="N86" s="231"/>
      <c r="O86" s="231"/>
      <c r="P86" s="231"/>
      <c r="Q86" s="212"/>
      <c r="R86" s="212"/>
      <c r="S86" s="212"/>
      <c r="T86" s="212"/>
      <c r="U86" s="212"/>
      <c r="V86" s="212"/>
      <c r="W86" s="212"/>
      <c r="X86" s="213"/>
      <c r="Y86" s="232"/>
      <c r="Z86" s="231"/>
      <c r="AA86" s="231"/>
      <c r="AB86" s="193"/>
      <c r="AC86" s="722"/>
      <c r="AD86" s="723"/>
      <c r="AE86" s="723"/>
      <c r="AF86" s="724"/>
      <c r="AI86" s="109" t="str">
        <f>"31:field241:" &amp; IF(I86="■",1,IF(L86="■",2,0))</f>
        <v>31:field241:0</v>
      </c>
    </row>
    <row r="87" spans="1:37" s="109" customFormat="1" ht="18.75" customHeight="1" x14ac:dyDescent="0.2">
      <c r="A87" s="129"/>
      <c r="B87" s="116"/>
      <c r="C87" s="233"/>
      <c r="D87" s="132"/>
      <c r="E87" s="121"/>
      <c r="F87" s="132"/>
      <c r="G87" s="133"/>
      <c r="H87" s="234" t="s">
        <v>93</v>
      </c>
      <c r="I87" s="196" t="s">
        <v>383</v>
      </c>
      <c r="J87" s="197" t="s">
        <v>250</v>
      </c>
      <c r="K87" s="197"/>
      <c r="L87" s="199"/>
      <c r="M87" s="200" t="s">
        <v>383</v>
      </c>
      <c r="N87" s="197" t="s">
        <v>281</v>
      </c>
      <c r="O87" s="197"/>
      <c r="P87" s="199"/>
      <c r="Q87" s="200" t="s">
        <v>383</v>
      </c>
      <c r="R87" s="235" t="s">
        <v>282</v>
      </c>
      <c r="S87" s="235"/>
      <c r="T87" s="235"/>
      <c r="U87" s="235"/>
      <c r="V87" s="235"/>
      <c r="W87" s="235"/>
      <c r="X87" s="236"/>
      <c r="Y87" s="138" t="s">
        <v>383</v>
      </c>
      <c r="Z87" s="119" t="s">
        <v>249</v>
      </c>
      <c r="AA87" s="119"/>
      <c r="AB87" s="137"/>
      <c r="AC87" s="138" t="s">
        <v>383</v>
      </c>
      <c r="AD87" s="119" t="s">
        <v>249</v>
      </c>
      <c r="AE87" s="119"/>
      <c r="AF87" s="137"/>
      <c r="AG87" s="109" t="str">
        <f>"ser_code = '" &amp; IF(A101="■",15,"") &amp; "'"</f>
        <v>ser_code = ''</v>
      </c>
      <c r="AI87" s="109" t="str">
        <f>"15:"&amp;IF(AND(I87="□",M87="□",Q87="□"),"ketu_kangos_code:0",IF(I87="■","ketu_kangos_code:1:ketu_kshoku_code:1",IF(M87="■","ketu_kangos_code:2","ketu_kangos_code:1")&amp;IF(Q87="■",":ketu_kshoku_code:2",":ketu_kshoku_code:1")))</f>
        <v>15:ketu_kangos_code:0</v>
      </c>
      <c r="AJ87" s="109" t="str">
        <f>"15:field203:" &amp; IF(Y87="■",1,IF(Y88="■",2,0))</f>
        <v>15:field203:0</v>
      </c>
      <c r="AK87" s="109" t="str">
        <f>"15:waribiki_code:" &amp; IF(AC87="■",1,IF(AC88="■",2,0))</f>
        <v>15:waribiki_code:0</v>
      </c>
    </row>
    <row r="88" spans="1:37" s="109" customFormat="1" ht="19.5" customHeight="1" x14ac:dyDescent="0.2">
      <c r="A88" s="139"/>
      <c r="B88" s="123"/>
      <c r="C88" s="140"/>
      <c r="D88" s="141"/>
      <c r="E88" s="128"/>
      <c r="F88" s="142"/>
      <c r="G88" s="143"/>
      <c r="H88" s="155" t="s">
        <v>430</v>
      </c>
      <c r="I88" s="156" t="s">
        <v>383</v>
      </c>
      <c r="J88" s="157" t="s">
        <v>395</v>
      </c>
      <c r="K88" s="158"/>
      <c r="L88" s="159"/>
      <c r="M88" s="160" t="s">
        <v>383</v>
      </c>
      <c r="N88" s="157" t="s">
        <v>431</v>
      </c>
      <c r="O88" s="161"/>
      <c r="P88" s="157"/>
      <c r="Q88" s="162"/>
      <c r="R88" s="162"/>
      <c r="S88" s="162"/>
      <c r="T88" s="162"/>
      <c r="U88" s="162"/>
      <c r="V88" s="162"/>
      <c r="W88" s="162"/>
      <c r="X88" s="163"/>
      <c r="Y88" s="118" t="s">
        <v>383</v>
      </c>
      <c r="Z88" s="126" t="s">
        <v>255</v>
      </c>
      <c r="AA88" s="147"/>
      <c r="AB88" s="148"/>
      <c r="AC88" s="125" t="s">
        <v>383</v>
      </c>
      <c r="AD88" s="126" t="s">
        <v>255</v>
      </c>
      <c r="AE88" s="147"/>
      <c r="AF88" s="148"/>
      <c r="AG88" s="109" t="str">
        <f>"15:sisetukbn_code:" &amp; IF(D100="■",4,IF(D101="■",6,IF(D102="■",7,0)))</f>
        <v>15:sisetukbn_code:0</v>
      </c>
      <c r="AI88" s="109" t="str">
        <f>"15:field223:" &amp; IF(I88="■",1,IF(M88="■",2,0))</f>
        <v>15:field223:0</v>
      </c>
    </row>
    <row r="89" spans="1:37" s="109" customFormat="1" ht="19.5" customHeight="1" x14ac:dyDescent="0.2">
      <c r="A89" s="139"/>
      <c r="B89" s="123"/>
      <c r="C89" s="140"/>
      <c r="D89" s="141"/>
      <c r="E89" s="128"/>
      <c r="F89" s="142"/>
      <c r="G89" s="143"/>
      <c r="H89" s="155" t="s">
        <v>448</v>
      </c>
      <c r="I89" s="156" t="s">
        <v>383</v>
      </c>
      <c r="J89" s="157" t="s">
        <v>395</v>
      </c>
      <c r="K89" s="158"/>
      <c r="L89" s="159"/>
      <c r="M89" s="160" t="s">
        <v>383</v>
      </c>
      <c r="N89" s="157" t="s">
        <v>431</v>
      </c>
      <c r="O89" s="157"/>
      <c r="P89" s="157"/>
      <c r="Q89" s="162"/>
      <c r="R89" s="162"/>
      <c r="S89" s="162"/>
      <c r="T89" s="162"/>
      <c r="U89" s="162"/>
      <c r="V89" s="162"/>
      <c r="W89" s="162"/>
      <c r="X89" s="163"/>
      <c r="Y89" s="171"/>
      <c r="Z89" s="126"/>
      <c r="AA89" s="147"/>
      <c r="AB89" s="148"/>
      <c r="AC89" s="174"/>
      <c r="AD89" s="126"/>
      <c r="AE89" s="147"/>
      <c r="AF89" s="148"/>
      <c r="AI89" s="109" t="str">
        <f>"15:field232:" &amp; IF(I89="■",1,IF(M89="■",2,0))</f>
        <v>15:field232:0</v>
      </c>
    </row>
    <row r="90" spans="1:37" s="109" customFormat="1" ht="18.75" customHeight="1" x14ac:dyDescent="0.2">
      <c r="A90" s="139"/>
      <c r="B90" s="123"/>
      <c r="C90" s="237"/>
      <c r="D90" s="142"/>
      <c r="E90" s="128"/>
      <c r="F90" s="142"/>
      <c r="G90" s="143"/>
      <c r="H90" s="694" t="s">
        <v>223</v>
      </c>
      <c r="I90" s="709" t="s">
        <v>383</v>
      </c>
      <c r="J90" s="708" t="s">
        <v>250</v>
      </c>
      <c r="K90" s="708"/>
      <c r="L90" s="717" t="s">
        <v>383</v>
      </c>
      <c r="M90" s="708" t="s">
        <v>267</v>
      </c>
      <c r="N90" s="708"/>
      <c r="O90" s="172"/>
      <c r="P90" s="172"/>
      <c r="Q90" s="172"/>
      <c r="R90" s="172"/>
      <c r="S90" s="172"/>
      <c r="T90" s="172"/>
      <c r="U90" s="172"/>
      <c r="V90" s="172"/>
      <c r="W90" s="172"/>
      <c r="X90" s="209"/>
      <c r="Y90" s="108"/>
      <c r="Z90" s="108"/>
      <c r="AA90" s="108"/>
      <c r="AB90" s="148"/>
      <c r="AC90" s="141"/>
      <c r="AD90" s="108"/>
      <c r="AE90" s="147"/>
      <c r="AF90" s="148"/>
      <c r="AI90" s="109" t="str">
        <f>"15:field204:" &amp; IF(I90="■",1,IF(L90="■",2,0))</f>
        <v>15:field204:0</v>
      </c>
    </row>
    <row r="91" spans="1:37" s="109" customFormat="1" ht="18.75" customHeight="1" x14ac:dyDescent="0.2">
      <c r="A91" s="139"/>
      <c r="B91" s="123"/>
      <c r="C91" s="237"/>
      <c r="D91" s="142"/>
      <c r="E91" s="128"/>
      <c r="F91" s="142"/>
      <c r="G91" s="143"/>
      <c r="H91" s="692"/>
      <c r="I91" s="720"/>
      <c r="J91" s="697"/>
      <c r="K91" s="697"/>
      <c r="L91" s="721"/>
      <c r="M91" s="697"/>
      <c r="N91" s="697"/>
      <c r="O91" s="108"/>
      <c r="P91" s="108"/>
      <c r="Q91" s="108"/>
      <c r="R91" s="108"/>
      <c r="S91" s="108"/>
      <c r="T91" s="108"/>
      <c r="U91" s="108"/>
      <c r="V91" s="108"/>
      <c r="W91" s="108"/>
      <c r="X91" s="178"/>
      <c r="Y91" s="154"/>
      <c r="Z91" s="147"/>
      <c r="AA91" s="147"/>
      <c r="AB91" s="148"/>
      <c r="AC91" s="154"/>
      <c r="AD91" s="147"/>
      <c r="AE91" s="147"/>
      <c r="AF91" s="148"/>
    </row>
    <row r="92" spans="1:37" s="109" customFormat="1" ht="18.75" customHeight="1" x14ac:dyDescent="0.2">
      <c r="A92" s="139"/>
      <c r="B92" s="123"/>
      <c r="C92" s="237"/>
      <c r="D92" s="142"/>
      <c r="E92" s="128"/>
      <c r="F92" s="142"/>
      <c r="G92" s="143"/>
      <c r="H92" s="693"/>
      <c r="I92" s="710"/>
      <c r="J92" s="698"/>
      <c r="K92" s="698"/>
      <c r="L92" s="718"/>
      <c r="M92" s="698"/>
      <c r="N92" s="698"/>
      <c r="O92" s="151"/>
      <c r="P92" s="151"/>
      <c r="Q92" s="151"/>
      <c r="R92" s="151"/>
      <c r="S92" s="151"/>
      <c r="T92" s="151"/>
      <c r="U92" s="151"/>
      <c r="V92" s="151"/>
      <c r="W92" s="151"/>
      <c r="X92" s="238"/>
      <c r="Y92" s="154"/>
      <c r="Z92" s="147"/>
      <c r="AA92" s="147"/>
      <c r="AB92" s="148"/>
      <c r="AC92" s="154"/>
      <c r="AD92" s="147"/>
      <c r="AE92" s="147"/>
      <c r="AF92" s="148"/>
    </row>
    <row r="93" spans="1:37" s="109" customFormat="1" ht="18.75" customHeight="1" x14ac:dyDescent="0.2">
      <c r="A93" s="139"/>
      <c r="B93" s="123"/>
      <c r="C93" s="237"/>
      <c r="D93" s="142"/>
      <c r="E93" s="128"/>
      <c r="F93" s="142"/>
      <c r="G93" s="143"/>
      <c r="H93" s="164" t="s">
        <v>94</v>
      </c>
      <c r="I93" s="118" t="s">
        <v>383</v>
      </c>
      <c r="J93" s="157" t="s">
        <v>265</v>
      </c>
      <c r="K93" s="158"/>
      <c r="L93" s="159"/>
      <c r="M93" s="118" t="s">
        <v>383</v>
      </c>
      <c r="N93" s="157" t="s">
        <v>266</v>
      </c>
      <c r="O93" s="162"/>
      <c r="P93" s="162"/>
      <c r="Q93" s="162"/>
      <c r="R93" s="162"/>
      <c r="S93" s="162"/>
      <c r="T93" s="162"/>
      <c r="U93" s="162"/>
      <c r="V93" s="162"/>
      <c r="W93" s="162"/>
      <c r="X93" s="163"/>
      <c r="Y93" s="154"/>
      <c r="Z93" s="147"/>
      <c r="AA93" s="147"/>
      <c r="AB93" s="148"/>
      <c r="AC93" s="154"/>
      <c r="AD93" s="147"/>
      <c r="AE93" s="147"/>
      <c r="AF93" s="148"/>
      <c r="AI93" s="109" t="str">
        <f>"15:timeser_code:" &amp; IF(I93="■",1,IF(M93="■",2,0))</f>
        <v>15:timeser_code:0</v>
      </c>
    </row>
    <row r="94" spans="1:37" s="109" customFormat="1" ht="18.75" customHeight="1" x14ac:dyDescent="0.2">
      <c r="A94" s="139"/>
      <c r="B94" s="123"/>
      <c r="C94" s="237"/>
      <c r="D94" s="142"/>
      <c r="E94" s="128"/>
      <c r="F94" s="142"/>
      <c r="G94" s="143"/>
      <c r="H94" s="694" t="s">
        <v>159</v>
      </c>
      <c r="I94" s="707" t="s">
        <v>383</v>
      </c>
      <c r="J94" s="708" t="s">
        <v>250</v>
      </c>
      <c r="K94" s="708"/>
      <c r="L94" s="707" t="s">
        <v>383</v>
      </c>
      <c r="M94" s="708" t="s">
        <v>267</v>
      </c>
      <c r="N94" s="708"/>
      <c r="O94" s="168"/>
      <c r="P94" s="168"/>
      <c r="Q94" s="168"/>
      <c r="R94" s="168"/>
      <c r="S94" s="168"/>
      <c r="T94" s="168"/>
      <c r="U94" s="168"/>
      <c r="V94" s="168"/>
      <c r="W94" s="168"/>
      <c r="X94" s="173"/>
      <c r="Y94" s="154"/>
      <c r="Z94" s="147"/>
      <c r="AA94" s="147"/>
      <c r="AB94" s="148"/>
      <c r="AC94" s="154"/>
      <c r="AD94" s="147"/>
      <c r="AE94" s="147"/>
      <c r="AF94" s="148"/>
      <c r="AI94" s="109" t="str">
        <f>"15:field181:" &amp; IF(I94="■",1,IF(L94="■",2,0))</f>
        <v>15:field181:0</v>
      </c>
    </row>
    <row r="95" spans="1:37" s="109" customFormat="1" ht="18.75" customHeight="1" x14ac:dyDescent="0.2">
      <c r="A95" s="139"/>
      <c r="B95" s="123"/>
      <c r="C95" s="237"/>
      <c r="D95" s="142"/>
      <c r="E95" s="128"/>
      <c r="F95" s="142"/>
      <c r="G95" s="143"/>
      <c r="H95" s="693"/>
      <c r="I95" s="696"/>
      <c r="J95" s="698"/>
      <c r="K95" s="698"/>
      <c r="L95" s="696"/>
      <c r="M95" s="698"/>
      <c r="N95" s="698"/>
      <c r="O95" s="169"/>
      <c r="P95" s="169"/>
      <c r="Q95" s="169"/>
      <c r="R95" s="169"/>
      <c r="S95" s="169"/>
      <c r="T95" s="169"/>
      <c r="U95" s="169"/>
      <c r="V95" s="169"/>
      <c r="W95" s="169"/>
      <c r="X95" s="170"/>
      <c r="Y95" s="154"/>
      <c r="Z95" s="147"/>
      <c r="AA95" s="147"/>
      <c r="AB95" s="148"/>
      <c r="AC95" s="154"/>
      <c r="AD95" s="147"/>
      <c r="AE95" s="147"/>
      <c r="AF95" s="148"/>
    </row>
    <row r="96" spans="1:37" s="109" customFormat="1" ht="18.75" customHeight="1" x14ac:dyDescent="0.2">
      <c r="A96" s="139"/>
      <c r="B96" s="123"/>
      <c r="C96" s="237"/>
      <c r="D96" s="142"/>
      <c r="E96" s="128"/>
      <c r="F96" s="142"/>
      <c r="G96" s="143"/>
      <c r="H96" s="694" t="s">
        <v>160</v>
      </c>
      <c r="I96" s="707" t="s">
        <v>383</v>
      </c>
      <c r="J96" s="708" t="s">
        <v>250</v>
      </c>
      <c r="K96" s="708"/>
      <c r="L96" s="707" t="s">
        <v>383</v>
      </c>
      <c r="M96" s="708" t="s">
        <v>267</v>
      </c>
      <c r="N96" s="708"/>
      <c r="O96" s="168"/>
      <c r="P96" s="168"/>
      <c r="Q96" s="168"/>
      <c r="R96" s="168"/>
      <c r="S96" s="168"/>
      <c r="T96" s="168"/>
      <c r="U96" s="168"/>
      <c r="V96" s="168"/>
      <c r="W96" s="168"/>
      <c r="X96" s="173"/>
      <c r="Y96" s="154"/>
      <c r="Z96" s="147"/>
      <c r="AA96" s="147"/>
      <c r="AB96" s="148"/>
      <c r="AC96" s="154"/>
      <c r="AD96" s="147"/>
      <c r="AE96" s="147"/>
      <c r="AF96" s="148"/>
      <c r="AI96" s="109" t="str">
        <f>"15:field182:" &amp; IF(I96="■",1,IF(L96="■",2,0))</f>
        <v>15:field182:0</v>
      </c>
    </row>
    <row r="97" spans="1:35" s="109" customFormat="1" ht="18.75" customHeight="1" x14ac:dyDescent="0.2">
      <c r="A97" s="139"/>
      <c r="B97" s="123"/>
      <c r="C97" s="237"/>
      <c r="D97" s="142"/>
      <c r="E97" s="128"/>
      <c r="F97" s="142"/>
      <c r="G97" s="143"/>
      <c r="H97" s="693"/>
      <c r="I97" s="696"/>
      <c r="J97" s="698"/>
      <c r="K97" s="698"/>
      <c r="L97" s="696"/>
      <c r="M97" s="698"/>
      <c r="N97" s="698"/>
      <c r="O97" s="169"/>
      <c r="P97" s="169"/>
      <c r="Q97" s="169"/>
      <c r="R97" s="169"/>
      <c r="S97" s="169"/>
      <c r="T97" s="169"/>
      <c r="U97" s="169"/>
      <c r="V97" s="169"/>
      <c r="W97" s="169"/>
      <c r="X97" s="170"/>
      <c r="Y97" s="154"/>
      <c r="Z97" s="147"/>
      <c r="AA97" s="147"/>
      <c r="AB97" s="148"/>
      <c r="AC97" s="154"/>
      <c r="AD97" s="147"/>
      <c r="AE97" s="147"/>
      <c r="AF97" s="148"/>
    </row>
    <row r="98" spans="1:35" s="109" customFormat="1" ht="18.75" customHeight="1" x14ac:dyDescent="0.2">
      <c r="A98" s="139"/>
      <c r="B98" s="123"/>
      <c r="C98" s="237"/>
      <c r="D98" s="142"/>
      <c r="E98" s="128"/>
      <c r="F98" s="142"/>
      <c r="G98" s="143"/>
      <c r="H98" s="694" t="s">
        <v>161</v>
      </c>
      <c r="I98" s="707" t="s">
        <v>383</v>
      </c>
      <c r="J98" s="708" t="s">
        <v>250</v>
      </c>
      <c r="K98" s="708"/>
      <c r="L98" s="707" t="s">
        <v>383</v>
      </c>
      <c r="M98" s="708" t="s">
        <v>267</v>
      </c>
      <c r="N98" s="708"/>
      <c r="O98" s="168"/>
      <c r="P98" s="168"/>
      <c r="Q98" s="168"/>
      <c r="R98" s="168"/>
      <c r="S98" s="168"/>
      <c r="T98" s="168"/>
      <c r="U98" s="168"/>
      <c r="V98" s="168"/>
      <c r="W98" s="168"/>
      <c r="X98" s="173"/>
      <c r="Y98" s="154"/>
      <c r="Z98" s="147"/>
      <c r="AA98" s="147"/>
      <c r="AB98" s="148"/>
      <c r="AC98" s="154"/>
      <c r="AD98" s="147"/>
      <c r="AE98" s="147"/>
      <c r="AF98" s="148"/>
      <c r="AI98" s="109" t="str">
        <f>"15:field183:" &amp; IF(I98="■",1,IF(L98="■",2,0))</f>
        <v>15:field183:0</v>
      </c>
    </row>
    <row r="99" spans="1:35" s="109" customFormat="1" ht="18.75" customHeight="1" x14ac:dyDescent="0.2">
      <c r="A99" s="139"/>
      <c r="B99" s="123"/>
      <c r="C99" s="237"/>
      <c r="D99" s="142"/>
      <c r="E99" s="128"/>
      <c r="F99" s="142"/>
      <c r="G99" s="143"/>
      <c r="H99" s="693"/>
      <c r="I99" s="696"/>
      <c r="J99" s="698"/>
      <c r="K99" s="698"/>
      <c r="L99" s="696"/>
      <c r="M99" s="698"/>
      <c r="N99" s="698"/>
      <c r="O99" s="169"/>
      <c r="P99" s="169"/>
      <c r="Q99" s="169"/>
      <c r="R99" s="169"/>
      <c r="S99" s="169"/>
      <c r="T99" s="169"/>
      <c r="U99" s="169"/>
      <c r="V99" s="169"/>
      <c r="W99" s="169"/>
      <c r="X99" s="170"/>
      <c r="Y99" s="154"/>
      <c r="Z99" s="147"/>
      <c r="AA99" s="147"/>
      <c r="AB99" s="148"/>
      <c r="AC99" s="154"/>
      <c r="AD99" s="147"/>
      <c r="AE99" s="147"/>
      <c r="AF99" s="148"/>
    </row>
    <row r="100" spans="1:35" s="109" customFormat="1" ht="18.75" customHeight="1" x14ac:dyDescent="0.2">
      <c r="A100" s="139"/>
      <c r="B100" s="123"/>
      <c r="C100" s="237"/>
      <c r="D100" s="118" t="s">
        <v>383</v>
      </c>
      <c r="E100" s="128" t="s">
        <v>286</v>
      </c>
      <c r="F100" s="142"/>
      <c r="G100" s="143"/>
      <c r="H100" s="694" t="s">
        <v>162</v>
      </c>
      <c r="I100" s="707" t="s">
        <v>383</v>
      </c>
      <c r="J100" s="708" t="s">
        <v>250</v>
      </c>
      <c r="K100" s="708"/>
      <c r="L100" s="707" t="s">
        <v>383</v>
      </c>
      <c r="M100" s="708" t="s">
        <v>267</v>
      </c>
      <c r="N100" s="708"/>
      <c r="O100" s="168"/>
      <c r="P100" s="168"/>
      <c r="Q100" s="168"/>
      <c r="R100" s="168"/>
      <c r="S100" s="168"/>
      <c r="T100" s="168"/>
      <c r="U100" s="168"/>
      <c r="V100" s="168"/>
      <c r="W100" s="168"/>
      <c r="X100" s="173"/>
      <c r="Y100" s="154"/>
      <c r="Z100" s="147"/>
      <c r="AA100" s="147"/>
      <c r="AB100" s="148"/>
      <c r="AC100" s="154"/>
      <c r="AD100" s="147"/>
      <c r="AE100" s="147"/>
      <c r="AF100" s="148"/>
      <c r="AI100" s="109" t="str">
        <f>"15:field184:" &amp; IF(I100="■",1,IF(L100="■",2,0))</f>
        <v>15:field184:0</v>
      </c>
    </row>
    <row r="101" spans="1:35" s="109" customFormat="1" ht="18.75" customHeight="1" x14ac:dyDescent="0.2">
      <c r="A101" s="125" t="s">
        <v>383</v>
      </c>
      <c r="B101" s="123">
        <v>15</v>
      </c>
      <c r="C101" s="237" t="s">
        <v>5</v>
      </c>
      <c r="D101" s="118" t="s">
        <v>383</v>
      </c>
      <c r="E101" s="128" t="s">
        <v>287</v>
      </c>
      <c r="F101" s="142"/>
      <c r="G101" s="143"/>
      <c r="H101" s="693"/>
      <c r="I101" s="696"/>
      <c r="J101" s="698"/>
      <c r="K101" s="698"/>
      <c r="L101" s="696"/>
      <c r="M101" s="698"/>
      <c r="N101" s="698"/>
      <c r="O101" s="169"/>
      <c r="P101" s="169"/>
      <c r="Q101" s="169"/>
      <c r="R101" s="169"/>
      <c r="S101" s="169"/>
      <c r="T101" s="169"/>
      <c r="U101" s="169"/>
      <c r="V101" s="169"/>
      <c r="W101" s="169"/>
      <c r="X101" s="170"/>
      <c r="Y101" s="154"/>
      <c r="Z101" s="147"/>
      <c r="AA101" s="147"/>
      <c r="AB101" s="148"/>
      <c r="AC101" s="154"/>
      <c r="AD101" s="147"/>
      <c r="AE101" s="147"/>
      <c r="AF101" s="148"/>
    </row>
    <row r="102" spans="1:35" s="109" customFormat="1" ht="18.75" customHeight="1" x14ac:dyDescent="0.2">
      <c r="A102" s="139"/>
      <c r="B102" s="123"/>
      <c r="C102" s="237"/>
      <c r="D102" s="118" t="s">
        <v>383</v>
      </c>
      <c r="E102" s="128" t="s">
        <v>288</v>
      </c>
      <c r="F102" s="142"/>
      <c r="G102" s="143"/>
      <c r="H102" s="239" t="s">
        <v>147</v>
      </c>
      <c r="I102" s="156" t="s">
        <v>383</v>
      </c>
      <c r="J102" s="157" t="s">
        <v>250</v>
      </c>
      <c r="K102" s="158"/>
      <c r="L102" s="160" t="s">
        <v>383</v>
      </c>
      <c r="M102" s="157" t="s">
        <v>267</v>
      </c>
      <c r="N102" s="207"/>
      <c r="O102" s="207"/>
      <c r="P102" s="207"/>
      <c r="Q102" s="207"/>
      <c r="R102" s="207"/>
      <c r="S102" s="207"/>
      <c r="T102" s="207"/>
      <c r="U102" s="207"/>
      <c r="V102" s="207"/>
      <c r="W102" s="207"/>
      <c r="X102" s="208"/>
      <c r="Y102" s="154"/>
      <c r="Z102" s="147"/>
      <c r="AA102" s="147"/>
      <c r="AB102" s="148"/>
      <c r="AC102" s="154"/>
      <c r="AD102" s="147"/>
      <c r="AE102" s="147"/>
      <c r="AF102" s="148"/>
      <c r="AI102" s="109" t="str">
        <f>"15:field151:" &amp; IF(I102="■",1,IF(L102="■",2,0))</f>
        <v>15:field151:0</v>
      </c>
    </row>
    <row r="103" spans="1:35" s="109" customFormat="1" ht="18.75" customHeight="1" x14ac:dyDescent="0.2">
      <c r="A103" s="139"/>
      <c r="B103" s="123"/>
      <c r="C103" s="237"/>
      <c r="D103" s="142"/>
      <c r="E103" s="128"/>
      <c r="F103" s="142"/>
      <c r="G103" s="143"/>
      <c r="H103" s="164" t="s">
        <v>230</v>
      </c>
      <c r="I103" s="118" t="s">
        <v>383</v>
      </c>
      <c r="J103" s="169" t="s">
        <v>250</v>
      </c>
      <c r="K103" s="169"/>
      <c r="L103" s="160" t="s">
        <v>383</v>
      </c>
      <c r="M103" s="169" t="s">
        <v>251</v>
      </c>
      <c r="N103" s="157"/>
      <c r="O103" s="118" t="s">
        <v>383</v>
      </c>
      <c r="P103" s="157" t="s">
        <v>252</v>
      </c>
      <c r="Q103" s="207"/>
      <c r="R103" s="207"/>
      <c r="S103" s="207"/>
      <c r="T103" s="207"/>
      <c r="U103" s="207"/>
      <c r="V103" s="207"/>
      <c r="W103" s="207"/>
      <c r="X103" s="208"/>
      <c r="Y103" s="154"/>
      <c r="Z103" s="147"/>
      <c r="AA103" s="147"/>
      <c r="AB103" s="148"/>
      <c r="AC103" s="154"/>
      <c r="AD103" s="147"/>
      <c r="AE103" s="147"/>
      <c r="AF103" s="148"/>
      <c r="AI103" s="109" t="str">
        <f>"15:nyukai_code:"&amp;IF(I103="■",1,IF(O103="■",3,IF(L103="■",2,0)))</f>
        <v>15:nyukai_code:0</v>
      </c>
    </row>
    <row r="104" spans="1:35" s="109" customFormat="1" ht="18.75" customHeight="1" x14ac:dyDescent="0.2">
      <c r="A104" s="139"/>
      <c r="B104" s="123"/>
      <c r="C104" s="237"/>
      <c r="D104" s="142"/>
      <c r="E104" s="128"/>
      <c r="F104" s="142"/>
      <c r="G104" s="143"/>
      <c r="H104" s="164" t="s">
        <v>166</v>
      </c>
      <c r="I104" s="175" t="s">
        <v>383</v>
      </c>
      <c r="J104" s="157" t="s">
        <v>250</v>
      </c>
      <c r="K104" s="158"/>
      <c r="L104" s="118" t="s">
        <v>383</v>
      </c>
      <c r="M104" s="157" t="s">
        <v>267</v>
      </c>
      <c r="N104" s="207"/>
      <c r="O104" s="207"/>
      <c r="P104" s="207"/>
      <c r="Q104" s="207"/>
      <c r="R104" s="207"/>
      <c r="S104" s="207"/>
      <c r="T104" s="207"/>
      <c r="U104" s="207"/>
      <c r="V104" s="207"/>
      <c r="W104" s="207"/>
      <c r="X104" s="208"/>
      <c r="Y104" s="154"/>
      <c r="Z104" s="147"/>
      <c r="AA104" s="147"/>
      <c r="AB104" s="148"/>
      <c r="AC104" s="154"/>
      <c r="AD104" s="147"/>
      <c r="AE104" s="147"/>
      <c r="AF104" s="148"/>
      <c r="AI104" s="109" t="str">
        <f>"15:field153:" &amp; IF(I104="■",1,IF(L104="■",2,0))</f>
        <v>15:field153:0</v>
      </c>
    </row>
    <row r="105" spans="1:35" s="109" customFormat="1" ht="18.75" customHeight="1" x14ac:dyDescent="0.2">
      <c r="A105" s="139"/>
      <c r="B105" s="123"/>
      <c r="C105" s="237"/>
      <c r="D105" s="142"/>
      <c r="E105" s="128"/>
      <c r="F105" s="142"/>
      <c r="G105" s="143"/>
      <c r="H105" s="164" t="s">
        <v>145</v>
      </c>
      <c r="I105" s="175" t="s">
        <v>383</v>
      </c>
      <c r="J105" s="157" t="s">
        <v>250</v>
      </c>
      <c r="K105" s="157"/>
      <c r="L105" s="206" t="s">
        <v>383</v>
      </c>
      <c r="M105" s="157" t="s">
        <v>268</v>
      </c>
      <c r="N105" s="157"/>
      <c r="O105" s="118" t="s">
        <v>383</v>
      </c>
      <c r="P105" s="157" t="s">
        <v>269</v>
      </c>
      <c r="Q105" s="207"/>
      <c r="R105" s="207"/>
      <c r="S105" s="207"/>
      <c r="T105" s="207"/>
      <c r="U105" s="207"/>
      <c r="V105" s="207"/>
      <c r="W105" s="207"/>
      <c r="X105" s="208"/>
      <c r="Y105" s="154"/>
      <c r="Z105" s="147"/>
      <c r="AA105" s="147"/>
      <c r="AB105" s="148"/>
      <c r="AC105" s="154"/>
      <c r="AD105" s="147"/>
      <c r="AE105" s="147"/>
      <c r="AF105" s="148"/>
      <c r="AI105" s="109" t="str">
        <f>"15:field185:" &amp; IF(I105="■",1,IF(L105="■",3,IF(O105="■",2,0)))</f>
        <v>15:field185:0</v>
      </c>
    </row>
    <row r="106" spans="1:35" s="109" customFormat="1" ht="18.75" customHeight="1" x14ac:dyDescent="0.2">
      <c r="A106" s="139"/>
      <c r="B106" s="123"/>
      <c r="C106" s="237"/>
      <c r="D106" s="142"/>
      <c r="E106" s="128"/>
      <c r="F106" s="142"/>
      <c r="G106" s="143"/>
      <c r="H106" s="164" t="s">
        <v>201</v>
      </c>
      <c r="I106" s="175" t="s">
        <v>383</v>
      </c>
      <c r="J106" s="157" t="s">
        <v>250</v>
      </c>
      <c r="K106" s="157"/>
      <c r="L106" s="206" t="s">
        <v>383</v>
      </c>
      <c r="M106" s="157" t="s">
        <v>284</v>
      </c>
      <c r="N106" s="240"/>
      <c r="O106" s="240"/>
      <c r="P106" s="118" t="s">
        <v>383</v>
      </c>
      <c r="Q106" s="157" t="s">
        <v>285</v>
      </c>
      <c r="R106" s="240"/>
      <c r="S106" s="240"/>
      <c r="T106" s="240"/>
      <c r="U106" s="240"/>
      <c r="V106" s="240"/>
      <c r="W106" s="240"/>
      <c r="X106" s="241"/>
      <c r="Y106" s="154"/>
      <c r="Z106" s="147"/>
      <c r="AA106" s="147"/>
      <c r="AB106" s="148"/>
      <c r="AC106" s="154"/>
      <c r="AD106" s="147"/>
      <c r="AE106" s="147"/>
      <c r="AF106" s="148"/>
      <c r="AI106" s="109" t="str">
        <f>"15:field205:" &amp; IF(I106="■",1,IF(P106="■",3,IF(L106="■",2,0)))</f>
        <v>15:field205:0</v>
      </c>
    </row>
    <row r="107" spans="1:35" s="109" customFormat="1" ht="18.75" customHeight="1" x14ac:dyDescent="0.2">
      <c r="A107" s="139"/>
      <c r="B107" s="123"/>
      <c r="C107" s="237"/>
      <c r="D107" s="142"/>
      <c r="E107" s="128"/>
      <c r="F107" s="142"/>
      <c r="G107" s="143"/>
      <c r="H107" s="164" t="s">
        <v>167</v>
      </c>
      <c r="I107" s="175" t="s">
        <v>383</v>
      </c>
      <c r="J107" s="157" t="s">
        <v>250</v>
      </c>
      <c r="K107" s="158"/>
      <c r="L107" s="160" t="s">
        <v>383</v>
      </c>
      <c r="M107" s="157" t="s">
        <v>267</v>
      </c>
      <c r="N107" s="207"/>
      <c r="O107" s="207"/>
      <c r="P107" s="207"/>
      <c r="Q107" s="207"/>
      <c r="R107" s="207"/>
      <c r="S107" s="207"/>
      <c r="T107" s="207"/>
      <c r="U107" s="207"/>
      <c r="V107" s="207"/>
      <c r="W107" s="207"/>
      <c r="X107" s="208"/>
      <c r="Y107" s="154"/>
      <c r="Z107" s="147"/>
      <c r="AA107" s="147"/>
      <c r="AB107" s="148"/>
      <c r="AC107" s="154"/>
      <c r="AD107" s="147"/>
      <c r="AE107" s="147"/>
      <c r="AF107" s="148"/>
      <c r="AI107" s="109" t="str">
        <f>"15:field186:" &amp; IF(I107="■",1,IF(L107="■",2,0))</f>
        <v>15:field186:0</v>
      </c>
    </row>
    <row r="108" spans="1:35" s="109" customFormat="1" ht="18.75" customHeight="1" x14ac:dyDescent="0.2">
      <c r="A108" s="139"/>
      <c r="B108" s="123"/>
      <c r="C108" s="237"/>
      <c r="D108" s="142"/>
      <c r="E108" s="128"/>
      <c r="F108" s="142"/>
      <c r="G108" s="143"/>
      <c r="H108" s="242" t="s">
        <v>129</v>
      </c>
      <c r="I108" s="175" t="s">
        <v>383</v>
      </c>
      <c r="J108" s="157" t="s">
        <v>250</v>
      </c>
      <c r="K108" s="158"/>
      <c r="L108" s="118" t="s">
        <v>383</v>
      </c>
      <c r="M108" s="157" t="s">
        <v>267</v>
      </c>
      <c r="N108" s="207"/>
      <c r="O108" s="207"/>
      <c r="P108" s="207"/>
      <c r="Q108" s="207"/>
      <c r="R108" s="207"/>
      <c r="S108" s="207"/>
      <c r="T108" s="207"/>
      <c r="U108" s="207"/>
      <c r="V108" s="207"/>
      <c r="W108" s="207"/>
      <c r="X108" s="208"/>
      <c r="Y108" s="154"/>
      <c r="Z108" s="147"/>
      <c r="AA108" s="147"/>
      <c r="AB108" s="148"/>
      <c r="AC108" s="154"/>
      <c r="AD108" s="147"/>
      <c r="AE108" s="147"/>
      <c r="AF108" s="148"/>
      <c r="AI108" s="109" t="str">
        <f>"15:field167:" &amp; IF(I108="■",1,IF(L108="■",2,0))</f>
        <v>15:field167:0</v>
      </c>
    </row>
    <row r="109" spans="1:35" s="109" customFormat="1" ht="18.75" customHeight="1" x14ac:dyDescent="0.2">
      <c r="A109" s="139"/>
      <c r="B109" s="123"/>
      <c r="C109" s="237"/>
      <c r="D109" s="142"/>
      <c r="E109" s="128"/>
      <c r="F109" s="142"/>
      <c r="G109" s="143"/>
      <c r="H109" s="242" t="s">
        <v>110</v>
      </c>
      <c r="I109" s="156" t="s">
        <v>383</v>
      </c>
      <c r="J109" s="157" t="s">
        <v>250</v>
      </c>
      <c r="K109" s="158"/>
      <c r="L109" s="160" t="s">
        <v>383</v>
      </c>
      <c r="M109" s="157" t="s">
        <v>267</v>
      </c>
      <c r="N109" s="207"/>
      <c r="O109" s="207"/>
      <c r="P109" s="207"/>
      <c r="Q109" s="207"/>
      <c r="R109" s="207"/>
      <c r="S109" s="207"/>
      <c r="T109" s="207"/>
      <c r="U109" s="207"/>
      <c r="V109" s="207"/>
      <c r="W109" s="207"/>
      <c r="X109" s="208"/>
      <c r="Y109" s="154"/>
      <c r="Z109" s="147"/>
      <c r="AA109" s="147"/>
      <c r="AB109" s="148"/>
      <c r="AC109" s="154"/>
      <c r="AD109" s="147"/>
      <c r="AE109" s="147"/>
      <c r="AF109" s="148"/>
      <c r="AI109" s="109" t="str">
        <f>"15:jyakuninti_uke_code:" &amp; IF(I109="■",1,IF(L109="■",2,0))</f>
        <v>15:jyakuninti_uke_code:0</v>
      </c>
    </row>
    <row r="110" spans="1:35" s="109" customFormat="1" ht="18.75" customHeight="1" x14ac:dyDescent="0.2">
      <c r="A110" s="139"/>
      <c r="B110" s="123"/>
      <c r="C110" s="237"/>
      <c r="D110" s="142"/>
      <c r="E110" s="128"/>
      <c r="F110" s="142"/>
      <c r="G110" s="143"/>
      <c r="H110" s="204" t="s">
        <v>236</v>
      </c>
      <c r="I110" s="160" t="s">
        <v>383</v>
      </c>
      <c r="J110" s="157" t="s">
        <v>250</v>
      </c>
      <c r="K110" s="158"/>
      <c r="L110" s="203" t="s">
        <v>383</v>
      </c>
      <c r="M110" s="157" t="s">
        <v>267</v>
      </c>
      <c r="N110" s="207"/>
      <c r="O110" s="207"/>
      <c r="P110" s="207"/>
      <c r="Q110" s="207"/>
      <c r="R110" s="207"/>
      <c r="S110" s="207"/>
      <c r="T110" s="207"/>
      <c r="U110" s="207"/>
      <c r="V110" s="207"/>
      <c r="W110" s="207"/>
      <c r="X110" s="208"/>
      <c r="Y110" s="154"/>
      <c r="Z110" s="147"/>
      <c r="AA110" s="147"/>
      <c r="AB110" s="148"/>
      <c r="AC110" s="154"/>
      <c r="AD110" s="147"/>
      <c r="AE110" s="147"/>
      <c r="AF110" s="148"/>
      <c r="AI110" s="109" t="str">
        <f>"15:eiyomana_code:" &amp; IF(I110="■",1,IF(L110="■",2,0))</f>
        <v>15:eiyomana_code:0</v>
      </c>
    </row>
    <row r="111" spans="1:35" s="109" customFormat="1" ht="18.75" customHeight="1" x14ac:dyDescent="0.2">
      <c r="A111" s="139"/>
      <c r="B111" s="123"/>
      <c r="C111" s="237"/>
      <c r="D111" s="142"/>
      <c r="E111" s="128"/>
      <c r="F111" s="142"/>
      <c r="G111" s="143"/>
      <c r="H111" s="164" t="s">
        <v>205</v>
      </c>
      <c r="I111" s="156" t="s">
        <v>383</v>
      </c>
      <c r="J111" s="157" t="s">
        <v>250</v>
      </c>
      <c r="K111" s="158"/>
      <c r="L111" s="203" t="s">
        <v>383</v>
      </c>
      <c r="M111" s="157" t="s">
        <v>267</v>
      </c>
      <c r="N111" s="207"/>
      <c r="O111" s="207"/>
      <c r="P111" s="207"/>
      <c r="Q111" s="207"/>
      <c r="R111" s="207"/>
      <c r="S111" s="207"/>
      <c r="T111" s="207"/>
      <c r="U111" s="207"/>
      <c r="V111" s="207"/>
      <c r="W111" s="207"/>
      <c r="X111" s="208"/>
      <c r="Y111" s="154"/>
      <c r="Z111" s="147"/>
      <c r="AA111" s="147"/>
      <c r="AB111" s="148"/>
      <c r="AC111" s="154"/>
      <c r="AD111" s="147"/>
      <c r="AE111" s="147"/>
      <c r="AF111" s="148"/>
      <c r="AI111" s="109" t="str">
        <f>"15:koukoukino_code:" &amp; IF(I111="■",1,IF(L111="■",2,0))</f>
        <v>15:koukoukino_code:0</v>
      </c>
    </row>
    <row r="112" spans="1:35" s="109" customFormat="1" ht="18.75" customHeight="1" x14ac:dyDescent="0.2">
      <c r="A112" s="139"/>
      <c r="B112" s="123"/>
      <c r="C112" s="237"/>
      <c r="D112" s="142"/>
      <c r="E112" s="128"/>
      <c r="F112" s="142"/>
      <c r="G112" s="143"/>
      <c r="H112" s="164" t="s">
        <v>197</v>
      </c>
      <c r="I112" s="118" t="s">
        <v>383</v>
      </c>
      <c r="J112" s="157" t="s">
        <v>250</v>
      </c>
      <c r="K112" s="158"/>
      <c r="L112" s="203" t="s">
        <v>383</v>
      </c>
      <c r="M112" s="157" t="s">
        <v>267</v>
      </c>
      <c r="N112" s="207"/>
      <c r="O112" s="207"/>
      <c r="P112" s="207"/>
      <c r="Q112" s="207"/>
      <c r="R112" s="207"/>
      <c r="S112" s="207"/>
      <c r="T112" s="207"/>
      <c r="U112" s="207"/>
      <c r="V112" s="207"/>
      <c r="W112" s="207"/>
      <c r="X112" s="208"/>
      <c r="Y112" s="154"/>
      <c r="Z112" s="147"/>
      <c r="AA112" s="147"/>
      <c r="AB112" s="148"/>
      <c r="AC112" s="154"/>
      <c r="AD112" s="147"/>
      <c r="AE112" s="147"/>
      <c r="AF112" s="148"/>
      <c r="AI112" s="109" t="str">
        <f>"15:field212:" &amp; IF(I112="■",1,IF(L112="■",2,0))</f>
        <v>15:field212:0</v>
      </c>
    </row>
    <row r="113" spans="1:36" s="109" customFormat="1" ht="18.75" customHeight="1" x14ac:dyDescent="0.2">
      <c r="A113" s="139"/>
      <c r="B113" s="123"/>
      <c r="C113" s="237"/>
      <c r="D113" s="142"/>
      <c r="E113" s="128"/>
      <c r="F113" s="142"/>
      <c r="G113" s="143"/>
      <c r="H113" s="242" t="s">
        <v>118</v>
      </c>
      <c r="I113" s="156" t="s">
        <v>383</v>
      </c>
      <c r="J113" s="157" t="s">
        <v>250</v>
      </c>
      <c r="K113" s="157"/>
      <c r="L113" s="118" t="s">
        <v>383</v>
      </c>
      <c r="M113" s="157" t="s">
        <v>258</v>
      </c>
      <c r="N113" s="157"/>
      <c r="O113" s="118" t="s">
        <v>383</v>
      </c>
      <c r="P113" s="157" t="s">
        <v>259</v>
      </c>
      <c r="Q113" s="157"/>
      <c r="R113" s="118" t="s">
        <v>383</v>
      </c>
      <c r="S113" s="157" t="s">
        <v>283</v>
      </c>
      <c r="T113" s="157"/>
      <c r="U113" s="207"/>
      <c r="V113" s="207"/>
      <c r="W113" s="207"/>
      <c r="X113" s="208"/>
      <c r="Y113" s="154"/>
      <c r="Z113" s="147"/>
      <c r="AA113" s="147"/>
      <c r="AB113" s="148"/>
      <c r="AC113" s="154"/>
      <c r="AD113" s="147"/>
      <c r="AE113" s="147"/>
      <c r="AF113" s="148"/>
      <c r="AI113" s="109" t="str">
        <f>"15:serteikyo_kyoka_code:" &amp; IF(I113="■",1,IF(L113="■",6,IF(O113="■",5,IF(R113="■",7,0))))</f>
        <v>15:serteikyo_kyoka_code:0</v>
      </c>
    </row>
    <row r="114" spans="1:36" s="621" customFormat="1" ht="18.75" customHeight="1" x14ac:dyDescent="0.2">
      <c r="A114" s="139"/>
      <c r="B114" s="607"/>
      <c r="C114" s="604"/>
      <c r="D114" s="142"/>
      <c r="E114" s="128"/>
      <c r="F114" s="142"/>
      <c r="G114" s="143"/>
      <c r="H114" s="713" t="s">
        <v>790</v>
      </c>
      <c r="I114" s="600" t="s">
        <v>383</v>
      </c>
      <c r="J114" s="616" t="s">
        <v>627</v>
      </c>
      <c r="K114" s="616"/>
      <c r="L114" s="615"/>
      <c r="M114" s="602" t="s">
        <v>383</v>
      </c>
      <c r="N114" s="616" t="s">
        <v>791</v>
      </c>
      <c r="O114" s="617"/>
      <c r="P114" s="615"/>
      <c r="Q114" s="602" t="s">
        <v>383</v>
      </c>
      <c r="R114" s="618" t="s">
        <v>792</v>
      </c>
      <c r="S114" s="615"/>
      <c r="T114" s="615"/>
      <c r="U114" s="615"/>
      <c r="V114" s="618"/>
      <c r="W114" s="619"/>
      <c r="X114" s="620"/>
      <c r="Y114" s="154"/>
      <c r="Z114" s="147"/>
      <c r="AA114" s="147"/>
      <c r="AB114" s="148"/>
      <c r="AC114" s="154"/>
      <c r="AD114" s="147"/>
      <c r="AE114" s="147"/>
      <c r="AF114" s="148"/>
    </row>
    <row r="115" spans="1:36" s="621" customFormat="1" ht="18.75" customHeight="1" x14ac:dyDescent="0.2">
      <c r="A115" s="139"/>
      <c r="B115" s="607"/>
      <c r="C115" s="604"/>
      <c r="D115" s="142"/>
      <c r="E115" s="128"/>
      <c r="F115" s="142"/>
      <c r="G115" s="143"/>
      <c r="H115" s="714"/>
      <c r="I115" s="601" t="s">
        <v>383</v>
      </c>
      <c r="J115" s="623" t="s">
        <v>793</v>
      </c>
      <c r="K115" s="618"/>
      <c r="L115" s="628"/>
      <c r="M115" s="211" t="s">
        <v>383</v>
      </c>
      <c r="N115" s="623" t="s">
        <v>794</v>
      </c>
      <c r="O115" s="624"/>
      <c r="P115" s="622"/>
      <c r="Q115" s="211" t="s">
        <v>383</v>
      </c>
      <c r="R115" s="623" t="s">
        <v>795</v>
      </c>
      <c r="S115" s="622"/>
      <c r="T115" s="623"/>
      <c r="U115" s="211" t="s">
        <v>383</v>
      </c>
      <c r="V115" s="623" t="s">
        <v>796</v>
      </c>
      <c r="W115" s="625"/>
      <c r="X115" s="626"/>
      <c r="Y115" s="154"/>
      <c r="Z115" s="147"/>
      <c r="AA115" s="147"/>
      <c r="AB115" s="148"/>
      <c r="AC115" s="154"/>
      <c r="AD115" s="147"/>
      <c r="AE115" s="147"/>
      <c r="AF115" s="148"/>
    </row>
    <row r="116" spans="1:36" s="109" customFormat="1" ht="18.75" customHeight="1" x14ac:dyDescent="0.2">
      <c r="A116" s="129"/>
      <c r="B116" s="116"/>
      <c r="C116" s="130"/>
      <c r="D116" s="131"/>
      <c r="E116" s="121"/>
      <c r="F116" s="131"/>
      <c r="G116" s="225"/>
      <c r="H116" s="728" t="s">
        <v>181</v>
      </c>
      <c r="I116" s="138" t="s">
        <v>383</v>
      </c>
      <c r="J116" s="119" t="s">
        <v>250</v>
      </c>
      <c r="K116" s="119"/>
      <c r="L116" s="243"/>
      <c r="M116" s="134" t="s">
        <v>383</v>
      </c>
      <c r="N116" s="119" t="s">
        <v>289</v>
      </c>
      <c r="O116" s="119"/>
      <c r="P116" s="243"/>
      <c r="Q116" s="134" t="s">
        <v>383</v>
      </c>
      <c r="R116" s="244" t="s">
        <v>290</v>
      </c>
      <c r="S116" s="244"/>
      <c r="T116" s="244"/>
      <c r="U116" s="134" t="s">
        <v>383</v>
      </c>
      <c r="V116" s="244" t="s">
        <v>291</v>
      </c>
      <c r="W116" s="244"/>
      <c r="X116" s="225"/>
      <c r="Y116" s="138" t="s">
        <v>383</v>
      </c>
      <c r="Z116" s="119" t="s">
        <v>249</v>
      </c>
      <c r="AA116" s="119"/>
      <c r="AB116" s="137"/>
      <c r="AC116" s="730"/>
      <c r="AD116" s="730"/>
      <c r="AE116" s="730"/>
      <c r="AF116" s="730"/>
      <c r="AG116" s="109" t="str">
        <f>"ser_code = '" &amp; IF(A127="■",16,"") &amp; "'"</f>
        <v>ser_code = ''</v>
      </c>
      <c r="AI116" s="109" t="str">
        <f>"16:"&amp;IF(AND(I116="□",M116="□",Q116="□",U116="□",I117="□",M117="□",Q117="□"),"ketu_doctor_code:0",IF(I116="■","ketu_doctor_code:1:ketu_kangos_code:1:ketu_kshoku_code:1:ketu_rryoho_code:1:ketu_sryoho_code:1:ketu_gengo_code:1",
IF(M116="■","ketu_doctor_code:2","ketu_doctor_code:1")
&amp;IF(Q116="■",":ketu_kangos_code:2",":ketu_kangos_code:1")
&amp;IF(U116="■",":ketu_kshoku_code:2",":ketu_kshoku_code:1")
&amp;IF(I117="■",":ketu_rryoho_code:2",":ketu_rryoho_code:1")
&amp;IF(M117="■",":ketu_sryoho_code:2",":ketu_sryoho_code:1")
&amp;IF(Q117="■",":ketu_gengo_code:2",":ketu_gengo_code:1")))</f>
        <v>16:ketu_doctor_code:0</v>
      </c>
      <c r="AJ116" s="109" t="str">
        <f>"16:field203:" &amp; IF(Y116="■",1,IF(Y117="■",2,0))</f>
        <v>16:field203:0</v>
      </c>
    </row>
    <row r="117" spans="1:36" s="109" customFormat="1" ht="18.75" customHeight="1" x14ac:dyDescent="0.2">
      <c r="A117" s="139"/>
      <c r="B117" s="123"/>
      <c r="C117" s="140"/>
      <c r="D117" s="141"/>
      <c r="E117" s="128"/>
      <c r="F117" s="141"/>
      <c r="G117" s="178"/>
      <c r="H117" s="729"/>
      <c r="I117" s="118" t="s">
        <v>383</v>
      </c>
      <c r="J117" s="169" t="s">
        <v>292</v>
      </c>
      <c r="K117" s="151"/>
      <c r="L117" s="151"/>
      <c r="M117" s="118" t="s">
        <v>383</v>
      </c>
      <c r="N117" s="169" t="s">
        <v>293</v>
      </c>
      <c r="O117" s="151"/>
      <c r="P117" s="151"/>
      <c r="Q117" s="118" t="s">
        <v>383</v>
      </c>
      <c r="R117" s="169" t="s">
        <v>294</v>
      </c>
      <c r="S117" s="151"/>
      <c r="T117" s="151"/>
      <c r="U117" s="151"/>
      <c r="V117" s="151"/>
      <c r="W117" s="151"/>
      <c r="X117" s="238"/>
      <c r="Y117" s="118" t="s">
        <v>383</v>
      </c>
      <c r="Z117" s="126" t="s">
        <v>255</v>
      </c>
      <c r="AA117" s="147"/>
      <c r="AB117" s="148"/>
      <c r="AC117" s="731"/>
      <c r="AD117" s="731"/>
      <c r="AE117" s="731"/>
      <c r="AF117" s="731"/>
      <c r="AG117" s="109" t="str">
        <f>"16:sisetukbn_code:" &amp; IF(D123="■",4,IF(D124="■",7,IF(D125="■","A",IF(D126="■","D",IF(D127="■","E",IF(D128="■","F",IF(D129="■","G",IF(D130="■","H",IF(D131="■","J",0)))))))))</f>
        <v>16:sisetukbn_code:0</v>
      </c>
    </row>
    <row r="118" spans="1:36" s="109" customFormat="1" ht="19.5" customHeight="1" x14ac:dyDescent="0.2">
      <c r="A118" s="139"/>
      <c r="B118" s="123"/>
      <c r="C118" s="140"/>
      <c r="D118" s="141"/>
      <c r="E118" s="128"/>
      <c r="F118" s="142"/>
      <c r="G118" s="143"/>
      <c r="H118" s="155" t="s">
        <v>430</v>
      </c>
      <c r="I118" s="156" t="s">
        <v>383</v>
      </c>
      <c r="J118" s="157" t="s">
        <v>395</v>
      </c>
      <c r="K118" s="158"/>
      <c r="L118" s="159"/>
      <c r="M118" s="160" t="s">
        <v>383</v>
      </c>
      <c r="N118" s="157" t="s">
        <v>431</v>
      </c>
      <c r="O118" s="161"/>
      <c r="P118" s="157"/>
      <c r="Q118" s="162"/>
      <c r="R118" s="162"/>
      <c r="S118" s="162"/>
      <c r="T118" s="162"/>
      <c r="U118" s="162"/>
      <c r="V118" s="162"/>
      <c r="W118" s="162"/>
      <c r="X118" s="163"/>
      <c r="Y118" s="147"/>
      <c r="Z118" s="147"/>
      <c r="AA118" s="147"/>
      <c r="AB118" s="148"/>
      <c r="AC118" s="731"/>
      <c r="AD118" s="731"/>
      <c r="AE118" s="731"/>
      <c r="AF118" s="731"/>
      <c r="AI118" s="109" t="str">
        <f>"16:field223:" &amp; IF(I118="■",1,IF(M118="■",2,0))</f>
        <v>16:field223:0</v>
      </c>
    </row>
    <row r="119" spans="1:36" s="109" customFormat="1" ht="19.5" customHeight="1" x14ac:dyDescent="0.2">
      <c r="A119" s="139"/>
      <c r="B119" s="123"/>
      <c r="C119" s="140"/>
      <c r="D119" s="141"/>
      <c r="E119" s="128"/>
      <c r="F119" s="142"/>
      <c r="G119" s="143"/>
      <c r="H119" s="155" t="s">
        <v>448</v>
      </c>
      <c r="I119" s="156" t="s">
        <v>383</v>
      </c>
      <c r="J119" s="157" t="s">
        <v>395</v>
      </c>
      <c r="K119" s="158"/>
      <c r="L119" s="159"/>
      <c r="M119" s="160" t="s">
        <v>383</v>
      </c>
      <c r="N119" s="157" t="s">
        <v>431</v>
      </c>
      <c r="O119" s="161"/>
      <c r="P119" s="157"/>
      <c r="Q119" s="162"/>
      <c r="R119" s="162"/>
      <c r="S119" s="162"/>
      <c r="T119" s="162"/>
      <c r="U119" s="162"/>
      <c r="V119" s="162"/>
      <c r="W119" s="162"/>
      <c r="X119" s="163"/>
      <c r="Y119" s="147"/>
      <c r="Z119" s="147"/>
      <c r="AA119" s="147"/>
      <c r="AB119" s="148"/>
      <c r="AC119" s="731"/>
      <c r="AD119" s="731"/>
      <c r="AE119" s="731"/>
      <c r="AF119" s="731"/>
      <c r="AI119" s="109" t="str">
        <f>"16:field232:" &amp; IF(I119="■",1,IF(M119="■",2,0))</f>
        <v>16:field232:0</v>
      </c>
    </row>
    <row r="120" spans="1:36" s="109" customFormat="1" ht="18.75" customHeight="1" x14ac:dyDescent="0.2">
      <c r="A120" s="139"/>
      <c r="B120" s="123"/>
      <c r="C120" s="140"/>
      <c r="D120" s="141"/>
      <c r="E120" s="128"/>
      <c r="F120" s="141"/>
      <c r="G120" s="178"/>
      <c r="H120" s="734" t="s">
        <v>223</v>
      </c>
      <c r="I120" s="709" t="s">
        <v>383</v>
      </c>
      <c r="J120" s="708" t="s">
        <v>250</v>
      </c>
      <c r="K120" s="708"/>
      <c r="L120" s="717" t="s">
        <v>383</v>
      </c>
      <c r="M120" s="708" t="s">
        <v>267</v>
      </c>
      <c r="N120" s="708"/>
      <c r="O120" s="172"/>
      <c r="P120" s="172"/>
      <c r="Q120" s="172"/>
      <c r="R120" s="172"/>
      <c r="S120" s="172"/>
      <c r="T120" s="172"/>
      <c r="U120" s="172"/>
      <c r="V120" s="172"/>
      <c r="W120" s="172"/>
      <c r="X120" s="209"/>
      <c r="Y120" s="154"/>
      <c r="Z120" s="147"/>
      <c r="AA120" s="147"/>
      <c r="AB120" s="148"/>
      <c r="AC120" s="732"/>
      <c r="AD120" s="732"/>
      <c r="AE120" s="732"/>
      <c r="AF120" s="732"/>
      <c r="AI120" s="109" t="str">
        <f>"16:field204:" &amp; IF(I120="■",1,IF(L120="■",2,0))</f>
        <v>16:field204:0</v>
      </c>
    </row>
    <row r="121" spans="1:36" s="109" customFormat="1" ht="18.75" customHeight="1" x14ac:dyDescent="0.2">
      <c r="A121" s="139"/>
      <c r="B121" s="123"/>
      <c r="C121" s="140"/>
      <c r="D121" s="141"/>
      <c r="E121" s="128"/>
      <c r="F121" s="141"/>
      <c r="G121" s="178"/>
      <c r="H121" s="734"/>
      <c r="I121" s="720"/>
      <c r="J121" s="697"/>
      <c r="K121" s="697"/>
      <c r="L121" s="721"/>
      <c r="M121" s="697"/>
      <c r="N121" s="697"/>
      <c r="O121" s="108"/>
      <c r="P121" s="108"/>
      <c r="Q121" s="108"/>
      <c r="R121" s="108"/>
      <c r="S121" s="108"/>
      <c r="T121" s="108"/>
      <c r="U121" s="108"/>
      <c r="V121" s="108"/>
      <c r="W121" s="108"/>
      <c r="X121" s="178"/>
      <c r="Y121" s="154"/>
      <c r="Z121" s="147"/>
      <c r="AA121" s="147"/>
      <c r="AB121" s="148"/>
      <c r="AC121" s="732"/>
      <c r="AD121" s="732"/>
      <c r="AE121" s="732"/>
      <c r="AF121" s="732"/>
    </row>
    <row r="122" spans="1:36" s="109" customFormat="1" ht="18.75" customHeight="1" x14ac:dyDescent="0.2">
      <c r="A122" s="139"/>
      <c r="B122" s="123"/>
      <c r="C122" s="140"/>
      <c r="D122" s="141"/>
      <c r="E122" s="128"/>
      <c r="F122" s="141"/>
      <c r="G122" s="178"/>
      <c r="H122" s="734"/>
      <c r="I122" s="710"/>
      <c r="J122" s="698"/>
      <c r="K122" s="698"/>
      <c r="L122" s="718"/>
      <c r="M122" s="698"/>
      <c r="N122" s="698"/>
      <c r="O122" s="151"/>
      <c r="P122" s="151"/>
      <c r="Q122" s="151"/>
      <c r="R122" s="151"/>
      <c r="S122" s="151"/>
      <c r="T122" s="151"/>
      <c r="U122" s="151"/>
      <c r="V122" s="151"/>
      <c r="W122" s="151"/>
      <c r="X122" s="238"/>
      <c r="Y122" s="154"/>
      <c r="Z122" s="147"/>
      <c r="AA122" s="147"/>
      <c r="AB122" s="148"/>
      <c r="AC122" s="732"/>
      <c r="AD122" s="732"/>
      <c r="AE122" s="732"/>
      <c r="AF122" s="732"/>
    </row>
    <row r="123" spans="1:36" s="109" customFormat="1" ht="18.75" customHeight="1" x14ac:dyDescent="0.2">
      <c r="A123" s="139"/>
      <c r="B123" s="123"/>
      <c r="C123" s="140"/>
      <c r="D123" s="118" t="s">
        <v>383</v>
      </c>
      <c r="E123" s="128" t="s">
        <v>299</v>
      </c>
      <c r="F123" s="141"/>
      <c r="G123" s="178"/>
      <c r="H123" s="242" t="s">
        <v>96</v>
      </c>
      <c r="I123" s="156" t="s">
        <v>383</v>
      </c>
      <c r="J123" s="157" t="s">
        <v>265</v>
      </c>
      <c r="K123" s="158"/>
      <c r="L123" s="159"/>
      <c r="M123" s="160" t="s">
        <v>383</v>
      </c>
      <c r="N123" s="157" t="s">
        <v>266</v>
      </c>
      <c r="O123" s="162"/>
      <c r="P123" s="162"/>
      <c r="Q123" s="162"/>
      <c r="R123" s="162"/>
      <c r="S123" s="162"/>
      <c r="T123" s="162"/>
      <c r="U123" s="162"/>
      <c r="V123" s="162"/>
      <c r="W123" s="162"/>
      <c r="X123" s="163"/>
      <c r="Y123" s="154"/>
      <c r="Z123" s="147"/>
      <c r="AA123" s="147"/>
      <c r="AB123" s="148"/>
      <c r="AC123" s="732"/>
      <c r="AD123" s="732"/>
      <c r="AE123" s="732"/>
      <c r="AF123" s="732"/>
      <c r="AI123" s="109" t="str">
        <f>"16:timeser_code:" &amp; IF(I123="■",1,IF(M123="■",2,0))</f>
        <v>16:timeser_code:0</v>
      </c>
    </row>
    <row r="124" spans="1:36" s="109" customFormat="1" ht="18.75" customHeight="1" x14ac:dyDescent="0.2">
      <c r="A124" s="139"/>
      <c r="B124" s="123"/>
      <c r="C124" s="140"/>
      <c r="D124" s="118" t="s">
        <v>383</v>
      </c>
      <c r="E124" s="128" t="s">
        <v>298</v>
      </c>
      <c r="F124" s="141"/>
      <c r="G124" s="178"/>
      <c r="H124" s="245" t="s">
        <v>168</v>
      </c>
      <c r="I124" s="156" t="s">
        <v>383</v>
      </c>
      <c r="J124" s="157" t="s">
        <v>250</v>
      </c>
      <c r="K124" s="158"/>
      <c r="L124" s="160" t="s">
        <v>383</v>
      </c>
      <c r="M124" s="157" t="s">
        <v>267</v>
      </c>
      <c r="N124" s="207"/>
      <c r="O124" s="207"/>
      <c r="P124" s="207"/>
      <c r="Q124" s="207"/>
      <c r="R124" s="207"/>
      <c r="S124" s="207"/>
      <c r="T124" s="207"/>
      <c r="U124" s="207"/>
      <c r="V124" s="207"/>
      <c r="W124" s="207"/>
      <c r="X124" s="208"/>
      <c r="Y124" s="154"/>
      <c r="Z124" s="147"/>
      <c r="AA124" s="147"/>
      <c r="AB124" s="148"/>
      <c r="AC124" s="732"/>
      <c r="AD124" s="732"/>
      <c r="AE124" s="732"/>
      <c r="AF124" s="732"/>
      <c r="AI124" s="109" t="str">
        <f>"16:field188:" &amp; IF(I124="■",1,IF(L124="■",2,0))</f>
        <v>16:field188:0</v>
      </c>
    </row>
    <row r="125" spans="1:36" s="109" customFormat="1" ht="18.75" customHeight="1" x14ac:dyDescent="0.2">
      <c r="A125" s="139"/>
      <c r="B125" s="123"/>
      <c r="C125" s="140"/>
      <c r="D125" s="118" t="s">
        <v>383</v>
      </c>
      <c r="E125" s="128" t="s">
        <v>297</v>
      </c>
      <c r="F125" s="141"/>
      <c r="G125" s="178"/>
      <c r="H125" s="164" t="s">
        <v>230</v>
      </c>
      <c r="I125" s="156" t="s">
        <v>383</v>
      </c>
      <c r="J125" s="157" t="s">
        <v>250</v>
      </c>
      <c r="K125" s="157"/>
      <c r="L125" s="160" t="s">
        <v>383</v>
      </c>
      <c r="M125" s="157" t="s">
        <v>251</v>
      </c>
      <c r="N125" s="157"/>
      <c r="O125" s="160" t="s">
        <v>383</v>
      </c>
      <c r="P125" s="157" t="s">
        <v>252</v>
      </c>
      <c r="Q125" s="207"/>
      <c r="R125" s="207"/>
      <c r="S125" s="207"/>
      <c r="T125" s="207"/>
      <c r="U125" s="207"/>
      <c r="V125" s="207"/>
      <c r="W125" s="207"/>
      <c r="X125" s="208"/>
      <c r="Y125" s="154"/>
      <c r="Z125" s="147"/>
      <c r="AA125" s="147"/>
      <c r="AB125" s="148"/>
      <c r="AC125" s="732"/>
      <c r="AD125" s="732"/>
      <c r="AE125" s="732"/>
      <c r="AF125" s="732"/>
      <c r="AI125" s="109" t="str">
        <f>"16:nyukai_code:" &amp; IF(I125="■",1,IF(O125="■",3,IF(L125="■",2,0)))</f>
        <v>16:nyukai_code:0</v>
      </c>
    </row>
    <row r="126" spans="1:36" s="109" customFormat="1" ht="18.75" customHeight="1" x14ac:dyDescent="0.2">
      <c r="A126" s="139"/>
      <c r="B126" s="123"/>
      <c r="C126" s="140"/>
      <c r="D126" s="118" t="s">
        <v>383</v>
      </c>
      <c r="E126" s="128" t="s">
        <v>469</v>
      </c>
      <c r="F126" s="141"/>
      <c r="G126" s="178"/>
      <c r="H126" s="246" t="s">
        <v>156</v>
      </c>
      <c r="I126" s="342" t="s">
        <v>383</v>
      </c>
      <c r="J126" s="215" t="s">
        <v>250</v>
      </c>
      <c r="K126" s="215"/>
      <c r="L126" s="216"/>
      <c r="M126" s="341" t="s">
        <v>383</v>
      </c>
      <c r="N126" s="215" t="s">
        <v>467</v>
      </c>
      <c r="O126" s="215"/>
      <c r="P126" s="216"/>
      <c r="Q126" s="341" t="s">
        <v>383</v>
      </c>
      <c r="R126" s="217" t="s">
        <v>468</v>
      </c>
      <c r="S126" s="217"/>
      <c r="T126" s="217"/>
      <c r="U126" s="341" t="s">
        <v>383</v>
      </c>
      <c r="V126" s="217" t="s">
        <v>441</v>
      </c>
      <c r="W126" s="217"/>
      <c r="X126" s="219"/>
      <c r="Y126" s="154"/>
      <c r="Z126" s="147"/>
      <c r="AA126" s="147"/>
      <c r="AB126" s="148"/>
      <c r="AC126" s="732"/>
      <c r="AD126" s="732"/>
      <c r="AE126" s="732"/>
      <c r="AF126" s="732"/>
      <c r="AI126" s="109" t="str">
        <f>"16:field149:" &amp; IF(I126="■",1,IF(U126="■",8,IF(Q126="■",6,IF(M126="■",3,0))))</f>
        <v>16:field149:0</v>
      </c>
    </row>
    <row r="127" spans="1:36" s="109" customFormat="1" ht="19.5" customHeight="1" x14ac:dyDescent="0.2">
      <c r="A127" s="125" t="s">
        <v>383</v>
      </c>
      <c r="B127" s="123">
        <v>16</v>
      </c>
      <c r="C127" s="140" t="s">
        <v>216</v>
      </c>
      <c r="D127" s="118" t="s">
        <v>383</v>
      </c>
      <c r="E127" s="128" t="s">
        <v>470</v>
      </c>
      <c r="F127" s="142"/>
      <c r="G127" s="143"/>
      <c r="H127" s="692" t="s">
        <v>438</v>
      </c>
      <c r="I127" s="720" t="s">
        <v>383</v>
      </c>
      <c r="J127" s="697" t="s">
        <v>250</v>
      </c>
      <c r="K127" s="697"/>
      <c r="L127" s="721" t="s">
        <v>383</v>
      </c>
      <c r="M127" s="697" t="s">
        <v>267</v>
      </c>
      <c r="N127" s="697"/>
      <c r="O127" s="126"/>
      <c r="P127" s="220"/>
      <c r="Q127" s="220"/>
      <c r="R127" s="220"/>
      <c r="S127" s="108"/>
      <c r="T127" s="108"/>
      <c r="U127" s="220"/>
      <c r="V127" s="220"/>
      <c r="W127" s="108"/>
      <c r="X127" s="178"/>
      <c r="Y127" s="154"/>
      <c r="Z127" s="147"/>
      <c r="AA127" s="147"/>
      <c r="AB127" s="148"/>
      <c r="AC127" s="732"/>
      <c r="AD127" s="732"/>
      <c r="AE127" s="732"/>
      <c r="AF127" s="732"/>
      <c r="AI127" s="109" t="str">
        <f>"16:field239:" &amp; IF(I127="■",1,IF(L127="■",2,0))</f>
        <v>16:field239:0</v>
      </c>
    </row>
    <row r="128" spans="1:36" s="109" customFormat="1" ht="19.5" customHeight="1" x14ac:dyDescent="0.2">
      <c r="A128" s="139"/>
      <c r="B128" s="123"/>
      <c r="C128" s="140"/>
      <c r="D128" s="118" t="s">
        <v>383</v>
      </c>
      <c r="E128" s="128" t="s">
        <v>471</v>
      </c>
      <c r="F128" s="142"/>
      <c r="G128" s="143"/>
      <c r="H128" s="693"/>
      <c r="I128" s="710"/>
      <c r="J128" s="698"/>
      <c r="K128" s="698"/>
      <c r="L128" s="718"/>
      <c r="M128" s="698"/>
      <c r="N128" s="698"/>
      <c r="O128" s="126"/>
      <c r="P128" s="220"/>
      <c r="Q128" s="151"/>
      <c r="R128" s="151"/>
      <c r="S128" s="108"/>
      <c r="T128" s="108"/>
      <c r="U128" s="177"/>
      <c r="V128" s="151"/>
      <c r="W128" s="108"/>
      <c r="X128" s="178"/>
      <c r="Y128" s="154"/>
      <c r="Z128" s="147"/>
      <c r="AA128" s="147"/>
      <c r="AB128" s="148"/>
      <c r="AC128" s="732"/>
      <c r="AD128" s="732"/>
      <c r="AE128" s="732"/>
      <c r="AF128" s="732"/>
    </row>
    <row r="129" spans="1:37" s="109" customFormat="1" ht="18.75" customHeight="1" x14ac:dyDescent="0.2">
      <c r="A129" s="139"/>
      <c r="B129" s="123"/>
      <c r="C129" s="140"/>
      <c r="D129" s="118" t="s">
        <v>383</v>
      </c>
      <c r="E129" s="128" t="s">
        <v>464</v>
      </c>
      <c r="F129" s="141"/>
      <c r="G129" s="178"/>
      <c r="H129" s="164" t="s">
        <v>138</v>
      </c>
      <c r="I129" s="160" t="s">
        <v>383</v>
      </c>
      <c r="J129" s="157" t="s">
        <v>250</v>
      </c>
      <c r="K129" s="157"/>
      <c r="L129" s="160" t="s">
        <v>383</v>
      </c>
      <c r="M129" s="157" t="s">
        <v>251</v>
      </c>
      <c r="N129" s="157"/>
      <c r="O129" s="160" t="s">
        <v>383</v>
      </c>
      <c r="P129" s="157" t="s">
        <v>252</v>
      </c>
      <c r="Q129" s="207"/>
      <c r="R129" s="207"/>
      <c r="S129" s="207"/>
      <c r="T129" s="207"/>
      <c r="U129" s="207"/>
      <c r="V129" s="207"/>
      <c r="W129" s="207"/>
      <c r="X129" s="208"/>
      <c r="Y129" s="154"/>
      <c r="Z129" s="147"/>
      <c r="AA129" s="147"/>
      <c r="AB129" s="148"/>
      <c r="AC129" s="732"/>
      <c r="AD129" s="732"/>
      <c r="AE129" s="732"/>
      <c r="AF129" s="732"/>
      <c r="AI129" s="109" t="str">
        <f>"16:ninti_riha_code:" &amp; IF(I129="■",1,IF(L129="■",2,IF(O129="■",3,0)))</f>
        <v>16:ninti_riha_code:0</v>
      </c>
    </row>
    <row r="130" spans="1:37" s="109" customFormat="1" ht="18.75" customHeight="1" x14ac:dyDescent="0.2">
      <c r="A130" s="139"/>
      <c r="B130" s="123"/>
      <c r="C130" s="140"/>
      <c r="D130" s="118" t="s">
        <v>383</v>
      </c>
      <c r="E130" s="128" t="s">
        <v>465</v>
      </c>
      <c r="F130" s="141"/>
      <c r="G130" s="178"/>
      <c r="H130" s="164" t="s">
        <v>133</v>
      </c>
      <c r="I130" s="156" t="s">
        <v>383</v>
      </c>
      <c r="J130" s="157" t="s">
        <v>250</v>
      </c>
      <c r="K130" s="158"/>
      <c r="L130" s="160" t="s">
        <v>383</v>
      </c>
      <c r="M130" s="157" t="s">
        <v>267</v>
      </c>
      <c r="N130" s="207"/>
      <c r="O130" s="207"/>
      <c r="P130" s="207"/>
      <c r="Q130" s="207"/>
      <c r="R130" s="207"/>
      <c r="S130" s="207"/>
      <c r="T130" s="207"/>
      <c r="U130" s="207"/>
      <c r="V130" s="207"/>
      <c r="W130" s="207"/>
      <c r="X130" s="208"/>
      <c r="Y130" s="154"/>
      <c r="Z130" s="147"/>
      <c r="AA130" s="147"/>
      <c r="AB130" s="148"/>
      <c r="AC130" s="732"/>
      <c r="AD130" s="732"/>
      <c r="AE130" s="732"/>
      <c r="AF130" s="732"/>
      <c r="AI130" s="109" t="str">
        <f>"16:field157:" &amp; IF(I130="■",1,IF(L130="■",2,0))</f>
        <v>16:field157:0</v>
      </c>
    </row>
    <row r="131" spans="1:37" s="109" customFormat="1" ht="18.75" customHeight="1" x14ac:dyDescent="0.2">
      <c r="A131" s="139"/>
      <c r="B131" s="123"/>
      <c r="C131" s="140"/>
      <c r="D131" s="118" t="s">
        <v>383</v>
      </c>
      <c r="E131" s="128" t="s">
        <v>466</v>
      </c>
      <c r="F131" s="141"/>
      <c r="G131" s="178"/>
      <c r="H131" s="242" t="s">
        <v>110</v>
      </c>
      <c r="I131" s="160" t="s">
        <v>383</v>
      </c>
      <c r="J131" s="157" t="s">
        <v>250</v>
      </c>
      <c r="K131" s="158"/>
      <c r="L131" s="160" t="s">
        <v>383</v>
      </c>
      <c r="M131" s="157" t="s">
        <v>267</v>
      </c>
      <c r="N131" s="207"/>
      <c r="O131" s="207"/>
      <c r="P131" s="207"/>
      <c r="Q131" s="207"/>
      <c r="R131" s="207"/>
      <c r="S131" s="207"/>
      <c r="T131" s="207"/>
      <c r="U131" s="207"/>
      <c r="V131" s="207"/>
      <c r="W131" s="207"/>
      <c r="X131" s="208"/>
      <c r="Y131" s="154"/>
      <c r="Z131" s="147"/>
      <c r="AA131" s="147"/>
      <c r="AB131" s="148"/>
      <c r="AC131" s="732"/>
      <c r="AD131" s="732"/>
      <c r="AE131" s="732"/>
      <c r="AF131" s="732"/>
      <c r="AI131" s="109" t="str">
        <f>"16:jyakuninti_uke_code:" &amp; IF(I131="■",1,IF(L131="■",2,0))</f>
        <v>16:jyakuninti_uke_code:0</v>
      </c>
    </row>
    <row r="132" spans="1:37" s="109" customFormat="1" ht="18.75" customHeight="1" x14ac:dyDescent="0.2">
      <c r="A132" s="139"/>
      <c r="B132" s="123"/>
      <c r="C132" s="140"/>
      <c r="D132" s="141"/>
      <c r="E132" s="128"/>
      <c r="F132" s="141"/>
      <c r="G132" s="178"/>
      <c r="H132" s="247" t="s">
        <v>236</v>
      </c>
      <c r="I132" s="160" t="s">
        <v>383</v>
      </c>
      <c r="J132" s="157" t="s">
        <v>250</v>
      </c>
      <c r="K132" s="158"/>
      <c r="L132" s="160" t="s">
        <v>383</v>
      </c>
      <c r="M132" s="157" t="s">
        <v>267</v>
      </c>
      <c r="N132" s="207"/>
      <c r="O132" s="207"/>
      <c r="P132" s="207"/>
      <c r="Q132" s="207"/>
      <c r="R132" s="207"/>
      <c r="S132" s="207"/>
      <c r="T132" s="207"/>
      <c r="U132" s="207"/>
      <c r="V132" s="207"/>
      <c r="W132" s="207"/>
      <c r="X132" s="208"/>
      <c r="Y132" s="154"/>
      <c r="Z132" s="147"/>
      <c r="AA132" s="147"/>
      <c r="AB132" s="148"/>
      <c r="AC132" s="732"/>
      <c r="AD132" s="732"/>
      <c r="AE132" s="732"/>
      <c r="AF132" s="732"/>
      <c r="AI132" s="109" t="str">
        <f>"16:eiyomana_code:" &amp; IF(I132="■",1,IF(L132="■",2,0))</f>
        <v>16:eiyomana_code:0</v>
      </c>
    </row>
    <row r="133" spans="1:37" s="109" customFormat="1" ht="18.75" customHeight="1" x14ac:dyDescent="0.2">
      <c r="A133" s="139"/>
      <c r="B133" s="123"/>
      <c r="C133" s="140"/>
      <c r="D133" s="141"/>
      <c r="E133" s="128"/>
      <c r="F133" s="141"/>
      <c r="G133" s="178"/>
      <c r="H133" s="164" t="s">
        <v>205</v>
      </c>
      <c r="I133" s="160" t="s">
        <v>383</v>
      </c>
      <c r="J133" s="157" t="s">
        <v>250</v>
      </c>
      <c r="K133" s="158"/>
      <c r="L133" s="160" t="s">
        <v>383</v>
      </c>
      <c r="M133" s="157" t="s">
        <v>267</v>
      </c>
      <c r="N133" s="207"/>
      <c r="O133" s="207"/>
      <c r="P133" s="207"/>
      <c r="Q133" s="207"/>
      <c r="R133" s="207"/>
      <c r="S133" s="207"/>
      <c r="T133" s="207"/>
      <c r="U133" s="207"/>
      <c r="V133" s="207"/>
      <c r="W133" s="207"/>
      <c r="X133" s="208"/>
      <c r="Y133" s="154"/>
      <c r="Z133" s="147"/>
      <c r="AA133" s="147"/>
      <c r="AB133" s="148"/>
      <c r="AC133" s="732"/>
      <c r="AD133" s="732"/>
      <c r="AE133" s="732"/>
      <c r="AF133" s="732"/>
      <c r="AI133" s="109" t="str">
        <f>"16:koukoukino_code:" &amp; IF(I133="■",1,IF(L133="■",2,0))</f>
        <v>16:koukoukino_code:0</v>
      </c>
    </row>
    <row r="134" spans="1:37" s="109" customFormat="1" ht="18.75" customHeight="1" x14ac:dyDescent="0.2">
      <c r="A134" s="139"/>
      <c r="B134" s="123"/>
      <c r="C134" s="140"/>
      <c r="D134" s="141"/>
      <c r="E134" s="128"/>
      <c r="F134" s="141"/>
      <c r="G134" s="178"/>
      <c r="H134" s="242" t="s">
        <v>188</v>
      </c>
      <c r="I134" s="160" t="s">
        <v>383</v>
      </c>
      <c r="J134" s="157" t="s">
        <v>250</v>
      </c>
      <c r="K134" s="158"/>
      <c r="L134" s="160" t="s">
        <v>383</v>
      </c>
      <c r="M134" s="157" t="s">
        <v>267</v>
      </c>
      <c r="N134" s="207"/>
      <c r="O134" s="207"/>
      <c r="P134" s="207"/>
      <c r="Q134" s="207"/>
      <c r="R134" s="207"/>
      <c r="S134" s="207"/>
      <c r="T134" s="207"/>
      <c r="U134" s="207"/>
      <c r="V134" s="207"/>
      <c r="W134" s="207"/>
      <c r="X134" s="208"/>
      <c r="Y134" s="154"/>
      <c r="Z134" s="147"/>
      <c r="AA134" s="147"/>
      <c r="AB134" s="148"/>
      <c r="AC134" s="732"/>
      <c r="AD134" s="732"/>
      <c r="AE134" s="732"/>
      <c r="AF134" s="732"/>
      <c r="AI134" s="109" t="str">
        <f>"16:field153:" &amp; IF(I134="■",1,IF(L134="■",2,0))</f>
        <v>16:field153:0</v>
      </c>
    </row>
    <row r="135" spans="1:37" s="109" customFormat="1" ht="18.75" customHeight="1" x14ac:dyDescent="0.2">
      <c r="A135" s="139"/>
      <c r="B135" s="123"/>
      <c r="C135" s="140"/>
      <c r="D135" s="141"/>
      <c r="E135" s="128"/>
      <c r="F135" s="141"/>
      <c r="G135" s="178"/>
      <c r="H135" s="164" t="s">
        <v>197</v>
      </c>
      <c r="I135" s="160" t="s">
        <v>383</v>
      </c>
      <c r="J135" s="157" t="s">
        <v>250</v>
      </c>
      <c r="K135" s="158"/>
      <c r="L135" s="160" t="s">
        <v>383</v>
      </c>
      <c r="M135" s="157" t="s">
        <v>267</v>
      </c>
      <c r="N135" s="207"/>
      <c r="O135" s="207"/>
      <c r="P135" s="207"/>
      <c r="Q135" s="207"/>
      <c r="R135" s="207"/>
      <c r="S135" s="207"/>
      <c r="T135" s="207"/>
      <c r="U135" s="207"/>
      <c r="V135" s="207"/>
      <c r="W135" s="207"/>
      <c r="X135" s="208"/>
      <c r="Y135" s="154"/>
      <c r="Z135" s="147"/>
      <c r="AA135" s="147"/>
      <c r="AB135" s="148"/>
      <c r="AC135" s="732"/>
      <c r="AD135" s="732"/>
      <c r="AE135" s="732"/>
      <c r="AF135" s="732"/>
      <c r="AI135" s="109" t="str">
        <f>"16:field212:" &amp; IF(I135="■",1,IF(L135="■",2,0))</f>
        <v>16:field212:0</v>
      </c>
    </row>
    <row r="136" spans="1:37" s="109" customFormat="1" ht="18.75" customHeight="1" x14ac:dyDescent="0.2">
      <c r="A136" s="139"/>
      <c r="B136" s="123"/>
      <c r="C136" s="140"/>
      <c r="D136" s="141"/>
      <c r="E136" s="128"/>
      <c r="F136" s="141"/>
      <c r="G136" s="178"/>
      <c r="H136" s="164" t="s">
        <v>229</v>
      </c>
      <c r="I136" s="160" t="s">
        <v>383</v>
      </c>
      <c r="J136" s="157" t="s">
        <v>250</v>
      </c>
      <c r="K136" s="158"/>
      <c r="L136" s="160" t="s">
        <v>383</v>
      </c>
      <c r="M136" s="157" t="s">
        <v>267</v>
      </c>
      <c r="N136" s="207"/>
      <c r="O136" s="207"/>
      <c r="P136" s="207"/>
      <c r="Q136" s="207"/>
      <c r="R136" s="207"/>
      <c r="S136" s="207"/>
      <c r="T136" s="207"/>
      <c r="U136" s="207"/>
      <c r="V136" s="207"/>
      <c r="W136" s="207"/>
      <c r="X136" s="208"/>
      <c r="Y136" s="154"/>
      <c r="Z136" s="147"/>
      <c r="AA136" s="147"/>
      <c r="AB136" s="148"/>
      <c r="AC136" s="732"/>
      <c r="AD136" s="732"/>
      <c r="AE136" s="732"/>
      <c r="AF136" s="732"/>
      <c r="AI136" s="109" t="str">
        <f>"16:field150:" &amp; IF(I136="■",1,IF(L136="■",2,0))</f>
        <v>16:field150:0</v>
      </c>
    </row>
    <row r="137" spans="1:37" s="109" customFormat="1" ht="18.75" customHeight="1" x14ac:dyDescent="0.2">
      <c r="A137" s="139"/>
      <c r="B137" s="123"/>
      <c r="C137" s="140"/>
      <c r="D137" s="141"/>
      <c r="E137" s="128"/>
      <c r="F137" s="141"/>
      <c r="G137" s="178"/>
      <c r="H137" s="242" t="s">
        <v>118</v>
      </c>
      <c r="I137" s="160" t="s">
        <v>383</v>
      </c>
      <c r="J137" s="157" t="s">
        <v>250</v>
      </c>
      <c r="K137" s="157"/>
      <c r="L137" s="160" t="s">
        <v>383</v>
      </c>
      <c r="M137" s="157" t="s">
        <v>295</v>
      </c>
      <c r="N137" s="157"/>
      <c r="O137" s="160" t="s">
        <v>383</v>
      </c>
      <c r="P137" s="157" t="s">
        <v>277</v>
      </c>
      <c r="Q137" s="157"/>
      <c r="R137" s="160" t="s">
        <v>383</v>
      </c>
      <c r="S137" s="157" t="s">
        <v>296</v>
      </c>
      <c r="T137" s="207"/>
      <c r="U137" s="207"/>
      <c r="V137" s="207"/>
      <c r="W137" s="207"/>
      <c r="X137" s="208"/>
      <c r="Y137" s="154"/>
      <c r="Z137" s="147"/>
      <c r="AA137" s="147"/>
      <c r="AB137" s="148"/>
      <c r="AC137" s="732"/>
      <c r="AD137" s="732"/>
      <c r="AE137" s="732"/>
      <c r="AF137" s="732"/>
      <c r="AI137" s="109" t="str">
        <f>"16:serteikyo_kyoka_code:" &amp; IF(I137="■",1,IF(L137="■",5,IF(O137="■",4,IF(R137="■",6,0))))</f>
        <v>16:serteikyo_kyoka_code:0</v>
      </c>
    </row>
    <row r="138" spans="1:37" s="621" customFormat="1" ht="18.75" customHeight="1" x14ac:dyDescent="0.2">
      <c r="A138" s="139"/>
      <c r="B138" s="607"/>
      <c r="C138" s="140"/>
      <c r="D138" s="141"/>
      <c r="E138" s="128"/>
      <c r="F138" s="141"/>
      <c r="G138" s="178"/>
      <c r="H138" s="713" t="s">
        <v>790</v>
      </c>
      <c r="I138" s="600" t="s">
        <v>383</v>
      </c>
      <c r="J138" s="616" t="s">
        <v>627</v>
      </c>
      <c r="K138" s="616"/>
      <c r="L138" s="615"/>
      <c r="M138" s="602" t="s">
        <v>383</v>
      </c>
      <c r="N138" s="616" t="s">
        <v>791</v>
      </c>
      <c r="O138" s="617"/>
      <c r="P138" s="615"/>
      <c r="Q138" s="602" t="s">
        <v>383</v>
      </c>
      <c r="R138" s="618" t="s">
        <v>792</v>
      </c>
      <c r="S138" s="615"/>
      <c r="T138" s="615"/>
      <c r="U138" s="615"/>
      <c r="V138" s="618"/>
      <c r="W138" s="619"/>
      <c r="X138" s="620"/>
      <c r="Y138" s="154"/>
      <c r="Z138" s="147"/>
      <c r="AA138" s="147"/>
      <c r="AB138" s="148"/>
      <c r="AC138" s="733"/>
      <c r="AD138" s="733"/>
      <c r="AE138" s="733"/>
      <c r="AF138" s="733"/>
    </row>
    <row r="139" spans="1:37" s="621" customFormat="1" ht="18.75" customHeight="1" x14ac:dyDescent="0.2">
      <c r="A139" s="139"/>
      <c r="B139" s="607"/>
      <c r="C139" s="140"/>
      <c r="D139" s="141"/>
      <c r="E139" s="128"/>
      <c r="F139" s="141"/>
      <c r="G139" s="178"/>
      <c r="H139" s="714"/>
      <c r="I139" s="603" t="s">
        <v>383</v>
      </c>
      <c r="J139" s="623" t="s">
        <v>793</v>
      </c>
      <c r="K139" s="623"/>
      <c r="L139" s="622"/>
      <c r="M139" s="603" t="s">
        <v>383</v>
      </c>
      <c r="N139" s="623" t="s">
        <v>794</v>
      </c>
      <c r="O139" s="624"/>
      <c r="P139" s="622"/>
      <c r="Q139" s="603" t="s">
        <v>383</v>
      </c>
      <c r="R139" s="623" t="s">
        <v>795</v>
      </c>
      <c r="S139" s="622"/>
      <c r="T139" s="623"/>
      <c r="U139" s="603" t="s">
        <v>383</v>
      </c>
      <c r="V139" s="623" t="s">
        <v>796</v>
      </c>
      <c r="W139" s="625"/>
      <c r="X139" s="626"/>
      <c r="Y139" s="154"/>
      <c r="Z139" s="147"/>
      <c r="AA139" s="147"/>
      <c r="AB139" s="148"/>
      <c r="AC139" s="733"/>
      <c r="AD139" s="733"/>
      <c r="AE139" s="733"/>
      <c r="AF139" s="733"/>
    </row>
    <row r="140" spans="1:37" s="109" customFormat="1" ht="18.75" customHeight="1" x14ac:dyDescent="0.2">
      <c r="A140" s="129"/>
      <c r="B140" s="116"/>
      <c r="C140" s="130"/>
      <c r="D140" s="131"/>
      <c r="E140" s="121"/>
      <c r="F140" s="132"/>
      <c r="G140" s="133"/>
      <c r="H140" s="226" t="s">
        <v>182</v>
      </c>
      <c r="I140" s="196" t="s">
        <v>383</v>
      </c>
      <c r="J140" s="197" t="s">
        <v>300</v>
      </c>
      <c r="K140" s="198"/>
      <c r="L140" s="199"/>
      <c r="M140" s="200" t="s">
        <v>383</v>
      </c>
      <c r="N140" s="197" t="s">
        <v>301</v>
      </c>
      <c r="O140" s="235"/>
      <c r="P140" s="235"/>
      <c r="Q140" s="235"/>
      <c r="R140" s="235"/>
      <c r="S140" s="235"/>
      <c r="T140" s="235"/>
      <c r="U140" s="235"/>
      <c r="V140" s="235"/>
      <c r="W140" s="235"/>
      <c r="X140" s="236"/>
      <c r="Y140" s="138" t="s">
        <v>383</v>
      </c>
      <c r="Z140" s="119" t="s">
        <v>249</v>
      </c>
      <c r="AA140" s="119"/>
      <c r="AB140" s="137"/>
      <c r="AC140" s="138" t="s">
        <v>383</v>
      </c>
      <c r="AD140" s="119" t="s">
        <v>249</v>
      </c>
      <c r="AE140" s="119"/>
      <c r="AF140" s="137"/>
      <c r="AG140" s="109" t="str">
        <f>"ser_code = '" &amp; IF(A155="■",21,"") &amp; "'"</f>
        <v>ser_code = ''</v>
      </c>
      <c r="AI140" s="109" t="str">
        <f>"21:yakan_kinmu_code:" &amp; IF(I140="■",1,IF(M140="■",6,0))</f>
        <v>21:yakan_kinmu_code:0</v>
      </c>
      <c r="AJ140" s="109" t="str">
        <f>"21:field203:" &amp; IF(Y140="■",1,IF(Y141="■",2,0))</f>
        <v>21:field203:0</v>
      </c>
      <c r="AK140" s="109" t="str">
        <f>"21:waribiki_code:" &amp; IF(AC140="■",1,IF(AC141="■",2,0))</f>
        <v>21:waribiki_code:0</v>
      </c>
    </row>
    <row r="141" spans="1:37" s="109" customFormat="1" ht="18.75" customHeight="1" x14ac:dyDescent="0.2">
      <c r="A141" s="139"/>
      <c r="B141" s="123"/>
      <c r="C141" s="140"/>
      <c r="D141" s="141"/>
      <c r="E141" s="128"/>
      <c r="F141" s="142"/>
      <c r="G141" s="143"/>
      <c r="H141" s="242" t="s">
        <v>181</v>
      </c>
      <c r="I141" s="156" t="s">
        <v>383</v>
      </c>
      <c r="J141" s="157" t="s">
        <v>250</v>
      </c>
      <c r="K141" s="157"/>
      <c r="L141" s="159"/>
      <c r="M141" s="160" t="s">
        <v>383</v>
      </c>
      <c r="N141" s="157" t="s">
        <v>281</v>
      </c>
      <c r="O141" s="157"/>
      <c r="P141" s="159"/>
      <c r="Q141" s="160" t="s">
        <v>383</v>
      </c>
      <c r="R141" s="207" t="s">
        <v>282</v>
      </c>
      <c r="S141" s="207"/>
      <c r="T141" s="207"/>
      <c r="U141" s="207"/>
      <c r="V141" s="207"/>
      <c r="W141" s="207"/>
      <c r="X141" s="208"/>
      <c r="Y141" s="118" t="s">
        <v>383</v>
      </c>
      <c r="Z141" s="126" t="s">
        <v>255</v>
      </c>
      <c r="AA141" s="147"/>
      <c r="AB141" s="148"/>
      <c r="AC141" s="125" t="s">
        <v>383</v>
      </c>
      <c r="AD141" s="126" t="s">
        <v>255</v>
      </c>
      <c r="AE141" s="147"/>
      <c r="AF141" s="148"/>
      <c r="AG141" s="109" t="str">
        <f>"21:sisetukbn_code:" &amp; IF(D154="■",1,IF(D155="■",2,IF(D156="■",3,IF(D157="■",4,0))))</f>
        <v>21:sisetukbn_code:0</v>
      </c>
      <c r="AI141" s="109" t="str">
        <f>"21:"&amp;IF(AND(I141="□",M141="□",Q141="□"),"ketu_kangos_code:0",IF(I141="■","ketu_kangos_code:1:ketu_kshoku_code:1",IF(M141="■","ketu_kangos_code:2","ketu_kangos_code:1")&amp;IF(Q141="■",":ketu_kshoku_code:2",":ketu_kshoku_code:1")))</f>
        <v>21:ketu_kangos_code:0</v>
      </c>
    </row>
    <row r="142" spans="1:37" s="109" customFormat="1" ht="18.75" customHeight="1" x14ac:dyDescent="0.2">
      <c r="A142" s="139"/>
      <c r="B142" s="123"/>
      <c r="C142" s="140"/>
      <c r="D142" s="141"/>
      <c r="E142" s="128"/>
      <c r="F142" s="142"/>
      <c r="G142" s="143"/>
      <c r="H142" s="242" t="s">
        <v>98</v>
      </c>
      <c r="I142" s="156" t="s">
        <v>383</v>
      </c>
      <c r="J142" s="157" t="s">
        <v>265</v>
      </c>
      <c r="K142" s="158"/>
      <c r="L142" s="159"/>
      <c r="M142" s="160" t="s">
        <v>383</v>
      </c>
      <c r="N142" s="157" t="s">
        <v>266</v>
      </c>
      <c r="O142" s="162"/>
      <c r="P142" s="207"/>
      <c r="Q142" s="207"/>
      <c r="R142" s="207"/>
      <c r="S142" s="207"/>
      <c r="T142" s="207"/>
      <c r="U142" s="207"/>
      <c r="V142" s="207"/>
      <c r="W142" s="207"/>
      <c r="X142" s="208"/>
      <c r="Y142" s="154"/>
      <c r="Z142" s="147"/>
      <c r="AA142" s="147"/>
      <c r="AB142" s="148"/>
      <c r="AC142" s="154"/>
      <c r="AD142" s="147"/>
      <c r="AE142" s="147"/>
      <c r="AF142" s="148"/>
      <c r="AI142" s="109" t="str">
        <f>"21:unitcare_code:" &amp; IF(I142="■",1,IF(M142="■",2,0))</f>
        <v>21:unitcare_code:0</v>
      </c>
    </row>
    <row r="143" spans="1:37" s="109" customFormat="1" ht="18.75" customHeight="1" x14ac:dyDescent="0.2">
      <c r="A143" s="139"/>
      <c r="B143" s="123"/>
      <c r="C143" s="248"/>
      <c r="D143" s="249"/>
      <c r="E143" s="128"/>
      <c r="F143" s="142"/>
      <c r="G143" s="143"/>
      <c r="H143" s="364" t="s">
        <v>107</v>
      </c>
      <c r="I143" s="349" t="s">
        <v>383</v>
      </c>
      <c r="J143" s="350" t="s">
        <v>395</v>
      </c>
      <c r="K143" s="351"/>
      <c r="L143" s="352"/>
      <c r="M143" s="353" t="s">
        <v>383</v>
      </c>
      <c r="N143" s="350" t="s">
        <v>396</v>
      </c>
      <c r="O143" s="351"/>
      <c r="P143" s="351"/>
      <c r="Q143" s="351"/>
      <c r="R143" s="351"/>
      <c r="S143" s="351"/>
      <c r="T143" s="351"/>
      <c r="U143" s="351"/>
      <c r="V143" s="351"/>
      <c r="W143" s="351"/>
      <c r="X143" s="365"/>
      <c r="Y143" s="154"/>
      <c r="Z143" s="147"/>
      <c r="AA143" s="147"/>
      <c r="AB143" s="148"/>
      <c r="AC143" s="154"/>
      <c r="AD143" s="147"/>
      <c r="AE143" s="147"/>
      <c r="AF143" s="148"/>
      <c r="AI143" s="109" t="str">
        <f>"21:sintaikousoku_code:" &amp; IF(I143="■",1,IF(M143="■",2,0))</f>
        <v>21:sintaikousoku_code:0</v>
      </c>
    </row>
    <row r="144" spans="1:37" s="109" customFormat="1" ht="19.5" customHeight="1" x14ac:dyDescent="0.2">
      <c r="A144" s="139"/>
      <c r="B144" s="123"/>
      <c r="C144" s="140"/>
      <c r="D144" s="141"/>
      <c r="E144" s="128"/>
      <c r="F144" s="142"/>
      <c r="G144" s="143"/>
      <c r="H144" s="155" t="s">
        <v>430</v>
      </c>
      <c r="I144" s="156" t="s">
        <v>383</v>
      </c>
      <c r="J144" s="157" t="s">
        <v>395</v>
      </c>
      <c r="K144" s="158"/>
      <c r="L144" s="159"/>
      <c r="M144" s="160" t="s">
        <v>383</v>
      </c>
      <c r="N144" s="157" t="s">
        <v>431</v>
      </c>
      <c r="O144" s="161"/>
      <c r="P144" s="157"/>
      <c r="Q144" s="162"/>
      <c r="R144" s="162"/>
      <c r="S144" s="162"/>
      <c r="T144" s="162"/>
      <c r="U144" s="162"/>
      <c r="V144" s="162"/>
      <c r="W144" s="162"/>
      <c r="X144" s="163"/>
      <c r="Y144" s="147"/>
      <c r="Z144" s="147"/>
      <c r="AA144" s="147"/>
      <c r="AB144" s="148"/>
      <c r="AC144" s="154"/>
      <c r="AD144" s="147"/>
      <c r="AE144" s="147"/>
      <c r="AF144" s="148"/>
      <c r="AI144" s="109" t="str">
        <f>"21:field223:" &amp; IF(I144="■",1,IF(M144="■",2,0))</f>
        <v>21:field223:0</v>
      </c>
    </row>
    <row r="145" spans="1:35" s="109" customFormat="1" ht="19.5" customHeight="1" x14ac:dyDescent="0.2">
      <c r="A145" s="139"/>
      <c r="B145" s="123"/>
      <c r="C145" s="140"/>
      <c r="D145" s="141"/>
      <c r="E145" s="128"/>
      <c r="F145" s="142"/>
      <c r="G145" s="143"/>
      <c r="H145" s="155" t="s">
        <v>448</v>
      </c>
      <c r="I145" s="156" t="s">
        <v>383</v>
      </c>
      <c r="J145" s="157" t="s">
        <v>395</v>
      </c>
      <c r="K145" s="158"/>
      <c r="L145" s="159"/>
      <c r="M145" s="160" t="s">
        <v>383</v>
      </c>
      <c r="N145" s="157" t="s">
        <v>431</v>
      </c>
      <c r="O145" s="161"/>
      <c r="P145" s="157"/>
      <c r="Q145" s="162"/>
      <c r="R145" s="162"/>
      <c r="S145" s="162"/>
      <c r="T145" s="162"/>
      <c r="U145" s="162"/>
      <c r="V145" s="162"/>
      <c r="W145" s="162"/>
      <c r="X145" s="163"/>
      <c r="Y145" s="147"/>
      <c r="Z145" s="147"/>
      <c r="AA145" s="147"/>
      <c r="AB145" s="148"/>
      <c r="AC145" s="154"/>
      <c r="AD145" s="147"/>
      <c r="AE145" s="147"/>
      <c r="AF145" s="148"/>
      <c r="AI145" s="109" t="str">
        <f>"21:field232:" &amp; IF(I145="■",1,IF(M145="■",2,0))</f>
        <v>21:field232:0</v>
      </c>
    </row>
    <row r="146" spans="1:35" s="109" customFormat="1" ht="18.75" customHeight="1" x14ac:dyDescent="0.2">
      <c r="A146" s="139"/>
      <c r="B146" s="123"/>
      <c r="C146" s="140"/>
      <c r="D146" s="141"/>
      <c r="E146" s="128"/>
      <c r="F146" s="142"/>
      <c r="G146" s="143"/>
      <c r="H146" s="694" t="s">
        <v>163</v>
      </c>
      <c r="I146" s="725" t="s">
        <v>383</v>
      </c>
      <c r="J146" s="726" t="s">
        <v>250</v>
      </c>
      <c r="K146" s="726"/>
      <c r="L146" s="727" t="s">
        <v>383</v>
      </c>
      <c r="M146" s="726" t="s">
        <v>267</v>
      </c>
      <c r="N146" s="726"/>
      <c r="O146" s="168"/>
      <c r="P146" s="168"/>
      <c r="Q146" s="168"/>
      <c r="R146" s="168"/>
      <c r="S146" s="168"/>
      <c r="T146" s="168"/>
      <c r="U146" s="168"/>
      <c r="V146" s="168"/>
      <c r="W146" s="168"/>
      <c r="X146" s="173"/>
      <c r="Y146" s="154"/>
      <c r="Z146" s="147"/>
      <c r="AA146" s="147"/>
      <c r="AB146" s="148"/>
      <c r="AC146" s="154"/>
      <c r="AD146" s="147"/>
      <c r="AE146" s="147"/>
      <c r="AF146" s="148"/>
      <c r="AI146" s="109" t="str">
        <f>"21:field189:" &amp; IF(I146="■",1,IF(L146="■",2,0))</f>
        <v>21:field189:0</v>
      </c>
    </row>
    <row r="147" spans="1:35" s="109" customFormat="1" ht="18.75" customHeight="1" x14ac:dyDescent="0.2">
      <c r="A147" s="139"/>
      <c r="B147" s="123"/>
      <c r="C147" s="140"/>
      <c r="D147" s="141"/>
      <c r="E147" s="128"/>
      <c r="F147" s="142"/>
      <c r="G147" s="143"/>
      <c r="H147" s="693"/>
      <c r="I147" s="725"/>
      <c r="J147" s="726"/>
      <c r="K147" s="726"/>
      <c r="L147" s="727"/>
      <c r="M147" s="726"/>
      <c r="N147" s="726"/>
      <c r="O147" s="169"/>
      <c r="P147" s="169"/>
      <c r="Q147" s="169"/>
      <c r="R147" s="169"/>
      <c r="S147" s="169"/>
      <c r="T147" s="169"/>
      <c r="U147" s="169"/>
      <c r="V147" s="169"/>
      <c r="W147" s="169"/>
      <c r="X147" s="170"/>
      <c r="Y147" s="154"/>
      <c r="Z147" s="147"/>
      <c r="AA147" s="147"/>
      <c r="AB147" s="148"/>
      <c r="AC147" s="154"/>
      <c r="AD147" s="147"/>
      <c r="AE147" s="147"/>
      <c r="AF147" s="148"/>
    </row>
    <row r="148" spans="1:35" s="109" customFormat="1" ht="18.75" customHeight="1" x14ac:dyDescent="0.2">
      <c r="A148" s="139"/>
      <c r="B148" s="123"/>
      <c r="C148" s="140"/>
      <c r="D148" s="141"/>
      <c r="E148" s="128"/>
      <c r="F148" s="142"/>
      <c r="G148" s="143"/>
      <c r="H148" s="242" t="s">
        <v>148</v>
      </c>
      <c r="I148" s="156" t="s">
        <v>383</v>
      </c>
      <c r="J148" s="157" t="s">
        <v>250</v>
      </c>
      <c r="K148" s="158"/>
      <c r="L148" s="160" t="s">
        <v>383</v>
      </c>
      <c r="M148" s="157" t="s">
        <v>267</v>
      </c>
      <c r="N148" s="207"/>
      <c r="O148" s="162"/>
      <c r="P148" s="162"/>
      <c r="Q148" s="162"/>
      <c r="R148" s="162"/>
      <c r="S148" s="162"/>
      <c r="T148" s="162"/>
      <c r="U148" s="162"/>
      <c r="V148" s="162"/>
      <c r="W148" s="162"/>
      <c r="X148" s="163"/>
      <c r="Y148" s="154"/>
      <c r="Z148" s="147"/>
      <c r="AA148" s="147"/>
      <c r="AB148" s="148"/>
      <c r="AC148" s="154"/>
      <c r="AD148" s="147"/>
      <c r="AE148" s="147"/>
      <c r="AF148" s="148"/>
      <c r="AI148" s="109" t="str">
        <f>"21:field151:" &amp; IF(I148="■",1,IF(L148="■",2,0))</f>
        <v>21:field151:0</v>
      </c>
    </row>
    <row r="149" spans="1:35" s="109" customFormat="1" ht="18.75" customHeight="1" x14ac:dyDescent="0.2">
      <c r="A149" s="139"/>
      <c r="B149" s="123"/>
      <c r="C149" s="140"/>
      <c r="D149" s="141"/>
      <c r="E149" s="128"/>
      <c r="F149" s="142"/>
      <c r="G149" s="143"/>
      <c r="H149" s="164" t="s">
        <v>183</v>
      </c>
      <c r="I149" s="156" t="s">
        <v>383</v>
      </c>
      <c r="J149" s="157" t="s">
        <v>250</v>
      </c>
      <c r="K149" s="157"/>
      <c r="L149" s="160" t="s">
        <v>383</v>
      </c>
      <c r="M149" s="157" t="s">
        <v>268</v>
      </c>
      <c r="N149" s="157"/>
      <c r="O149" s="160" t="s">
        <v>383</v>
      </c>
      <c r="P149" s="157" t="s">
        <v>269</v>
      </c>
      <c r="Q149" s="207"/>
      <c r="R149" s="207"/>
      <c r="S149" s="207"/>
      <c r="T149" s="207"/>
      <c r="U149" s="207"/>
      <c r="V149" s="207"/>
      <c r="W149" s="207"/>
      <c r="X149" s="208"/>
      <c r="Y149" s="154"/>
      <c r="Z149" s="147"/>
      <c r="AA149" s="147"/>
      <c r="AB149" s="148"/>
      <c r="AC149" s="154"/>
      <c r="AD149" s="147"/>
      <c r="AE149" s="147"/>
      <c r="AF149" s="148"/>
      <c r="AI149" s="109" t="str">
        <f>"21:field185:" &amp; IF(I149="■",1,IF(L149="■",3,IF(O149="■",2,0)))</f>
        <v>21:field185:0</v>
      </c>
    </row>
    <row r="150" spans="1:35" s="109" customFormat="1" ht="18.75" customHeight="1" x14ac:dyDescent="0.2">
      <c r="A150" s="139"/>
      <c r="B150" s="123"/>
      <c r="C150" s="140"/>
      <c r="D150" s="141"/>
      <c r="E150" s="128"/>
      <c r="F150" s="142"/>
      <c r="G150" s="143"/>
      <c r="H150" s="242" t="s">
        <v>99</v>
      </c>
      <c r="I150" s="156" t="s">
        <v>383</v>
      </c>
      <c r="J150" s="157" t="s">
        <v>250</v>
      </c>
      <c r="K150" s="158"/>
      <c r="L150" s="160" t="s">
        <v>383</v>
      </c>
      <c r="M150" s="157" t="s">
        <v>267</v>
      </c>
      <c r="N150" s="207"/>
      <c r="O150" s="162"/>
      <c r="P150" s="162"/>
      <c r="Q150" s="162"/>
      <c r="R150" s="162"/>
      <c r="S150" s="162"/>
      <c r="T150" s="162"/>
      <c r="U150" s="162"/>
      <c r="V150" s="162"/>
      <c r="W150" s="162"/>
      <c r="X150" s="163"/>
      <c r="Y150" s="154"/>
      <c r="Z150" s="147"/>
      <c r="AA150" s="147"/>
      <c r="AB150" s="148"/>
      <c r="AC150" s="154"/>
      <c r="AD150" s="147"/>
      <c r="AE150" s="147"/>
      <c r="AF150" s="148"/>
      <c r="AI150" s="109" t="str">
        <f>"21:kunren_code:" &amp; IF(I150="■",1,IF(L150="■",2,0))</f>
        <v>21:kunren_code:0</v>
      </c>
    </row>
    <row r="151" spans="1:35" s="109" customFormat="1" ht="18.75" customHeight="1" x14ac:dyDescent="0.2">
      <c r="A151" s="139"/>
      <c r="B151" s="123"/>
      <c r="C151" s="140"/>
      <c r="D151" s="141"/>
      <c r="E151" s="128"/>
      <c r="F151" s="142"/>
      <c r="G151" s="143"/>
      <c r="H151" s="164" t="s">
        <v>132</v>
      </c>
      <c r="I151" s="156" t="s">
        <v>383</v>
      </c>
      <c r="J151" s="157" t="s">
        <v>250</v>
      </c>
      <c r="K151" s="158"/>
      <c r="L151" s="160" t="s">
        <v>383</v>
      </c>
      <c r="M151" s="157" t="s">
        <v>267</v>
      </c>
      <c r="N151" s="207"/>
      <c r="O151" s="162"/>
      <c r="P151" s="162"/>
      <c r="Q151" s="162"/>
      <c r="R151" s="162"/>
      <c r="S151" s="162"/>
      <c r="T151" s="162"/>
      <c r="U151" s="162"/>
      <c r="V151" s="162"/>
      <c r="W151" s="162"/>
      <c r="X151" s="163"/>
      <c r="Y151" s="154"/>
      <c r="Z151" s="147"/>
      <c r="AA151" s="147"/>
      <c r="AB151" s="148"/>
      <c r="AC151" s="154"/>
      <c r="AD151" s="147"/>
      <c r="AE151" s="147"/>
      <c r="AF151" s="148"/>
      <c r="AI151" s="109" t="str">
        <f>"21:kobetu_kunren_code:" &amp; IF(I151="■",1,IF(L151="■",2,0))</f>
        <v>21:kobetu_kunren_code:0</v>
      </c>
    </row>
    <row r="152" spans="1:35" s="109" customFormat="1" ht="18.75" customHeight="1" x14ac:dyDescent="0.2">
      <c r="A152" s="139"/>
      <c r="B152" s="123"/>
      <c r="C152" s="140"/>
      <c r="D152" s="141"/>
      <c r="E152" s="128"/>
      <c r="F152" s="142"/>
      <c r="G152" s="143"/>
      <c r="H152" s="242" t="s">
        <v>169</v>
      </c>
      <c r="I152" s="156" t="s">
        <v>383</v>
      </c>
      <c r="J152" s="157" t="s">
        <v>250</v>
      </c>
      <c r="K152" s="157"/>
      <c r="L152" s="160" t="s">
        <v>383</v>
      </c>
      <c r="M152" s="157" t="s">
        <v>251</v>
      </c>
      <c r="N152" s="157"/>
      <c r="O152" s="160" t="s">
        <v>383</v>
      </c>
      <c r="P152" s="157" t="s">
        <v>302</v>
      </c>
      <c r="Q152" s="207"/>
      <c r="R152" s="207"/>
      <c r="S152" s="207"/>
      <c r="T152" s="207"/>
      <c r="U152" s="207"/>
      <c r="V152" s="207"/>
      <c r="W152" s="207"/>
      <c r="X152" s="208"/>
      <c r="Y152" s="154"/>
      <c r="Z152" s="147"/>
      <c r="AA152" s="147"/>
      <c r="AB152" s="148"/>
      <c r="AC152" s="154"/>
      <c r="AD152" s="147"/>
      <c r="AE152" s="147"/>
      <c r="AF152" s="148"/>
      <c r="AI152" s="109" t="str">
        <f>"21:field158:" &amp; IF(I152="■",1,IF(O152="■",3,IF(L152="■",2,0)))</f>
        <v>21:field158:0</v>
      </c>
    </row>
    <row r="153" spans="1:35" s="109" customFormat="1" ht="18.75" customHeight="1" x14ac:dyDescent="0.2">
      <c r="A153" s="139"/>
      <c r="B153" s="123"/>
      <c r="C153" s="140"/>
      <c r="D153" s="141"/>
      <c r="E153" s="128"/>
      <c r="F153" s="142"/>
      <c r="G153" s="143"/>
      <c r="H153" s="242" t="s">
        <v>170</v>
      </c>
      <c r="I153" s="156" t="s">
        <v>383</v>
      </c>
      <c r="J153" s="157" t="s">
        <v>250</v>
      </c>
      <c r="K153" s="157"/>
      <c r="L153" s="160" t="s">
        <v>383</v>
      </c>
      <c r="M153" s="157" t="s">
        <v>269</v>
      </c>
      <c r="N153" s="157"/>
      <c r="O153" s="160" t="s">
        <v>383</v>
      </c>
      <c r="P153" s="157" t="s">
        <v>303</v>
      </c>
      <c r="Q153" s="207"/>
      <c r="R153" s="207"/>
      <c r="S153" s="207"/>
      <c r="T153" s="207"/>
      <c r="U153" s="207"/>
      <c r="V153" s="207"/>
      <c r="W153" s="207"/>
      <c r="X153" s="208"/>
      <c r="Y153" s="154"/>
      <c r="Z153" s="147"/>
      <c r="AA153" s="147"/>
      <c r="AB153" s="148"/>
      <c r="AC153" s="154"/>
      <c r="AD153" s="147"/>
      <c r="AE153" s="147"/>
      <c r="AF153" s="148"/>
      <c r="AI153" s="109" t="str">
        <f>"21:field159:" &amp; IF(I153="■",1,IF(O153="■",3,IF(L153="■",2,0)))</f>
        <v>21:field159:0</v>
      </c>
    </row>
    <row r="154" spans="1:35" s="109" customFormat="1" ht="18.75" customHeight="1" x14ac:dyDescent="0.2">
      <c r="A154" s="139"/>
      <c r="B154" s="123"/>
      <c r="C154" s="140"/>
      <c r="D154" s="118" t="s">
        <v>383</v>
      </c>
      <c r="E154" s="128" t="s">
        <v>309</v>
      </c>
      <c r="F154" s="142"/>
      <c r="G154" s="143"/>
      <c r="H154" s="242" t="s">
        <v>131</v>
      </c>
      <c r="I154" s="156" t="s">
        <v>383</v>
      </c>
      <c r="J154" s="157" t="s">
        <v>250</v>
      </c>
      <c r="K154" s="158"/>
      <c r="L154" s="160" t="s">
        <v>383</v>
      </c>
      <c r="M154" s="157" t="s">
        <v>267</v>
      </c>
      <c r="N154" s="207"/>
      <c r="O154" s="162"/>
      <c r="P154" s="162"/>
      <c r="Q154" s="162"/>
      <c r="R154" s="162"/>
      <c r="S154" s="162"/>
      <c r="T154" s="162"/>
      <c r="U154" s="162"/>
      <c r="V154" s="162"/>
      <c r="W154" s="162"/>
      <c r="X154" s="163"/>
      <c r="Y154" s="154"/>
      <c r="Z154" s="147"/>
      <c r="AA154" s="147"/>
      <c r="AB154" s="148"/>
      <c r="AC154" s="154"/>
      <c r="AD154" s="147"/>
      <c r="AE154" s="147"/>
      <c r="AF154" s="148"/>
      <c r="AI154" s="109" t="str">
        <f>"21:field160:" &amp; IF(I154="■",1,IF(L154="■",2,0))</f>
        <v>21:field160:0</v>
      </c>
    </row>
    <row r="155" spans="1:35" s="109" customFormat="1" ht="18.75" customHeight="1" x14ac:dyDescent="0.2">
      <c r="A155" s="125" t="s">
        <v>383</v>
      </c>
      <c r="B155" s="123">
        <v>21</v>
      </c>
      <c r="C155" s="87" t="s">
        <v>217</v>
      </c>
      <c r="D155" s="118" t="s">
        <v>383</v>
      </c>
      <c r="E155" s="128" t="s">
        <v>310</v>
      </c>
      <c r="F155" s="142"/>
      <c r="G155" s="143"/>
      <c r="H155" s="149" t="s">
        <v>434</v>
      </c>
      <c r="I155" s="150" t="s">
        <v>383</v>
      </c>
      <c r="J155" s="169" t="s">
        <v>250</v>
      </c>
      <c r="K155" s="179"/>
      <c r="L155" s="203" t="s">
        <v>383</v>
      </c>
      <c r="M155" s="169" t="s">
        <v>267</v>
      </c>
      <c r="N155" s="151"/>
      <c r="O155" s="151"/>
      <c r="P155" s="151"/>
      <c r="Q155" s="152"/>
      <c r="R155" s="152"/>
      <c r="S155" s="152"/>
      <c r="T155" s="152"/>
      <c r="U155" s="152"/>
      <c r="V155" s="152"/>
      <c r="W155" s="152"/>
      <c r="X155" s="153"/>
      <c r="Y155" s="154"/>
      <c r="Z155" s="147"/>
      <c r="AA155" s="147"/>
      <c r="AB155" s="148"/>
      <c r="AC155" s="154"/>
      <c r="AD155" s="147"/>
      <c r="AE155" s="147"/>
      <c r="AF155" s="148"/>
      <c r="AI155" s="109" t="str">
        <f>"21:field171:" &amp; IF(I155="■",1,IF(L155="■",2,0))</f>
        <v>21:field171:0</v>
      </c>
    </row>
    <row r="156" spans="1:35" s="109" customFormat="1" ht="18.75" customHeight="1" x14ac:dyDescent="0.2">
      <c r="A156" s="139"/>
      <c r="B156" s="123"/>
      <c r="C156" s="140"/>
      <c r="D156" s="118" t="s">
        <v>383</v>
      </c>
      <c r="E156" s="128" t="s">
        <v>311</v>
      </c>
      <c r="F156" s="142"/>
      <c r="G156" s="143"/>
      <c r="H156" s="242" t="s">
        <v>111</v>
      </c>
      <c r="I156" s="156" t="s">
        <v>383</v>
      </c>
      <c r="J156" s="157" t="s">
        <v>250</v>
      </c>
      <c r="K156" s="162"/>
      <c r="L156" s="160" t="s">
        <v>383</v>
      </c>
      <c r="M156" s="157" t="s">
        <v>304</v>
      </c>
      <c r="N156" s="162"/>
      <c r="O156" s="162"/>
      <c r="P156" s="162"/>
      <c r="Q156" s="160" t="s">
        <v>383</v>
      </c>
      <c r="R156" s="207" t="s">
        <v>305</v>
      </c>
      <c r="S156" s="162"/>
      <c r="T156" s="162"/>
      <c r="U156" s="162"/>
      <c r="V156" s="162"/>
      <c r="W156" s="162"/>
      <c r="X156" s="163"/>
      <c r="Y156" s="154"/>
      <c r="Z156" s="147"/>
      <c r="AA156" s="147"/>
      <c r="AB156" s="148"/>
      <c r="AC156" s="154"/>
      <c r="AD156" s="147"/>
      <c r="AE156" s="147"/>
      <c r="AF156" s="148"/>
      <c r="AI156" s="109" t="str">
        <f>"21:yakinhaiti_code:" &amp; IF(I156="■",1,IF(Q156="■",3,IF(L156="■",2,0)))</f>
        <v>21:yakinhaiti_code:0</v>
      </c>
    </row>
    <row r="157" spans="1:35" s="109" customFormat="1" ht="18.75" customHeight="1" x14ac:dyDescent="0.2">
      <c r="A157" s="139"/>
      <c r="B157" s="123"/>
      <c r="C157" s="140"/>
      <c r="D157" s="118" t="s">
        <v>383</v>
      </c>
      <c r="E157" s="128" t="s">
        <v>312</v>
      </c>
      <c r="F157" s="142"/>
      <c r="G157" s="143"/>
      <c r="H157" s="694" t="s">
        <v>231</v>
      </c>
      <c r="I157" s="725" t="s">
        <v>383</v>
      </c>
      <c r="J157" s="726" t="s">
        <v>250</v>
      </c>
      <c r="K157" s="726"/>
      <c r="L157" s="727" t="s">
        <v>383</v>
      </c>
      <c r="M157" s="726" t="s">
        <v>267</v>
      </c>
      <c r="N157" s="726"/>
      <c r="O157" s="168"/>
      <c r="P157" s="168"/>
      <c r="Q157" s="168"/>
      <c r="R157" s="168"/>
      <c r="S157" s="168"/>
      <c r="T157" s="168"/>
      <c r="U157" s="168"/>
      <c r="V157" s="168"/>
      <c r="W157" s="168"/>
      <c r="X157" s="173"/>
      <c r="Y157" s="154"/>
      <c r="Z157" s="147"/>
      <c r="AA157" s="147"/>
      <c r="AB157" s="148"/>
      <c r="AC157" s="154"/>
      <c r="AD157" s="147"/>
      <c r="AE157" s="147"/>
      <c r="AF157" s="148"/>
      <c r="AI157" s="109" t="str">
        <f>"21:field161:" &amp; IF(I157="■",1,IF(L157="■",2,0))</f>
        <v>21:field161:0</v>
      </c>
    </row>
    <row r="158" spans="1:35" s="109" customFormat="1" ht="18.75" customHeight="1" x14ac:dyDescent="0.2">
      <c r="A158" s="139"/>
      <c r="B158" s="123"/>
      <c r="C158" s="140"/>
      <c r="D158" s="141"/>
      <c r="E158" s="128"/>
      <c r="F158" s="142"/>
      <c r="G158" s="143"/>
      <c r="H158" s="693"/>
      <c r="I158" s="725"/>
      <c r="J158" s="726"/>
      <c r="K158" s="726"/>
      <c r="L158" s="727"/>
      <c r="M158" s="726"/>
      <c r="N158" s="726"/>
      <c r="O158" s="169"/>
      <c r="P158" s="169"/>
      <c r="Q158" s="169"/>
      <c r="R158" s="169"/>
      <c r="S158" s="169"/>
      <c r="T158" s="169"/>
      <c r="U158" s="169"/>
      <c r="V158" s="169"/>
      <c r="W158" s="169"/>
      <c r="X158" s="170"/>
      <c r="Y158" s="154"/>
      <c r="Z158" s="147"/>
      <c r="AA158" s="147"/>
      <c r="AB158" s="148"/>
      <c r="AC158" s="154"/>
      <c r="AD158" s="147"/>
      <c r="AE158" s="147"/>
      <c r="AF158" s="148"/>
    </row>
    <row r="159" spans="1:35" s="109" customFormat="1" ht="18.75" customHeight="1" x14ac:dyDescent="0.2">
      <c r="A159" s="139"/>
      <c r="B159" s="123"/>
      <c r="C159" s="140"/>
      <c r="D159" s="141"/>
      <c r="E159" s="128"/>
      <c r="F159" s="142"/>
      <c r="G159" s="143"/>
      <c r="H159" s="242" t="s">
        <v>110</v>
      </c>
      <c r="I159" s="156" t="s">
        <v>383</v>
      </c>
      <c r="J159" s="157" t="s">
        <v>250</v>
      </c>
      <c r="K159" s="158"/>
      <c r="L159" s="160" t="s">
        <v>383</v>
      </c>
      <c r="M159" s="157" t="s">
        <v>267</v>
      </c>
      <c r="N159" s="207"/>
      <c r="O159" s="162"/>
      <c r="P159" s="162"/>
      <c r="Q159" s="162"/>
      <c r="R159" s="162"/>
      <c r="S159" s="162"/>
      <c r="T159" s="162"/>
      <c r="U159" s="162"/>
      <c r="V159" s="162"/>
      <c r="W159" s="162"/>
      <c r="X159" s="163"/>
      <c r="Y159" s="154"/>
      <c r="Z159" s="147"/>
      <c r="AA159" s="147"/>
      <c r="AB159" s="148"/>
      <c r="AC159" s="154"/>
      <c r="AD159" s="147"/>
      <c r="AE159" s="147"/>
      <c r="AF159" s="148"/>
      <c r="AI159" s="109" t="str">
        <f>"21:jyakuninti_uke_code:" &amp; IF(I159="■",1,IF(L159="■",2,0))</f>
        <v>21:jyakuninti_uke_code:0</v>
      </c>
    </row>
    <row r="160" spans="1:35" s="109" customFormat="1" ht="18.75" customHeight="1" x14ac:dyDescent="0.2">
      <c r="A160" s="139"/>
      <c r="B160" s="123"/>
      <c r="C160" s="140"/>
      <c r="D160" s="141"/>
      <c r="E160" s="128"/>
      <c r="F160" s="142"/>
      <c r="G160" s="143"/>
      <c r="H160" s="242" t="s">
        <v>95</v>
      </c>
      <c r="I160" s="156" t="s">
        <v>383</v>
      </c>
      <c r="J160" s="157" t="s">
        <v>265</v>
      </c>
      <c r="K160" s="158"/>
      <c r="L160" s="162"/>
      <c r="M160" s="160" t="s">
        <v>383</v>
      </c>
      <c r="N160" s="157" t="s">
        <v>266</v>
      </c>
      <c r="O160" s="162"/>
      <c r="P160" s="162"/>
      <c r="Q160" s="162"/>
      <c r="R160" s="162"/>
      <c r="S160" s="162"/>
      <c r="T160" s="162"/>
      <c r="U160" s="162"/>
      <c r="V160" s="162"/>
      <c r="W160" s="162"/>
      <c r="X160" s="163"/>
      <c r="Y160" s="154"/>
      <c r="Z160" s="147"/>
      <c r="AA160" s="147"/>
      <c r="AB160" s="148"/>
      <c r="AC160" s="154"/>
      <c r="AD160" s="147"/>
      <c r="AE160" s="147"/>
      <c r="AF160" s="148"/>
      <c r="AI160" s="109" t="str">
        <f>"21:sougei_code:" &amp; IF(I160="■",1,IF(M160="■",2,0))</f>
        <v>21:sougei_code:0</v>
      </c>
    </row>
    <row r="161" spans="1:36" s="109" customFormat="1" ht="19.5" customHeight="1" x14ac:dyDescent="0.2">
      <c r="A161" s="139"/>
      <c r="B161" s="123"/>
      <c r="C161" s="140"/>
      <c r="D161" s="141"/>
      <c r="E161" s="128"/>
      <c r="F161" s="142"/>
      <c r="G161" s="143"/>
      <c r="H161" s="155" t="s">
        <v>433</v>
      </c>
      <c r="I161" s="156" t="s">
        <v>383</v>
      </c>
      <c r="J161" s="157" t="s">
        <v>250</v>
      </c>
      <c r="K161" s="157"/>
      <c r="L161" s="160" t="s">
        <v>383</v>
      </c>
      <c r="M161" s="157" t="s">
        <v>267</v>
      </c>
      <c r="N161" s="157"/>
      <c r="O161" s="162"/>
      <c r="P161" s="157"/>
      <c r="Q161" s="162"/>
      <c r="R161" s="162"/>
      <c r="S161" s="162"/>
      <c r="T161" s="162"/>
      <c r="U161" s="162"/>
      <c r="V161" s="162"/>
      <c r="W161" s="162"/>
      <c r="X161" s="163"/>
      <c r="Y161" s="147"/>
      <c r="Z161" s="147"/>
      <c r="AA161" s="147"/>
      <c r="AB161" s="148"/>
      <c r="AC161" s="154"/>
      <c r="AD161" s="147"/>
      <c r="AE161" s="147"/>
      <c r="AF161" s="148"/>
      <c r="AI161" s="109" t="str">
        <f>"21:field224:" &amp; IF(I161="■",1,IF(L161="■",2,0))</f>
        <v>21:field224:0</v>
      </c>
    </row>
    <row r="162" spans="1:36" s="109" customFormat="1" ht="18.75" customHeight="1" x14ac:dyDescent="0.2">
      <c r="A162" s="139"/>
      <c r="B162" s="123"/>
      <c r="C162" s="140"/>
      <c r="D162" s="141"/>
      <c r="E162" s="128"/>
      <c r="F162" s="142"/>
      <c r="G162" s="143"/>
      <c r="H162" s="242" t="s">
        <v>112</v>
      </c>
      <c r="I162" s="156" t="s">
        <v>383</v>
      </c>
      <c r="J162" s="157" t="s">
        <v>250</v>
      </c>
      <c r="K162" s="158"/>
      <c r="L162" s="160" t="s">
        <v>383</v>
      </c>
      <c r="M162" s="157" t="s">
        <v>267</v>
      </c>
      <c r="N162" s="207"/>
      <c r="O162" s="162"/>
      <c r="P162" s="162"/>
      <c r="Q162" s="162"/>
      <c r="R162" s="162"/>
      <c r="S162" s="162"/>
      <c r="T162" s="162"/>
      <c r="U162" s="162"/>
      <c r="V162" s="162"/>
      <c r="W162" s="162"/>
      <c r="X162" s="163"/>
      <c r="Y162" s="154"/>
      <c r="Z162" s="147"/>
      <c r="AA162" s="147"/>
      <c r="AB162" s="148"/>
      <c r="AC162" s="154"/>
      <c r="AD162" s="147"/>
      <c r="AE162" s="147"/>
      <c r="AF162" s="148"/>
      <c r="AI162" s="109" t="str">
        <f>"21:ryouyoushoku_code:" &amp; IF(I162="■",1,IF(L162="■",2,0))</f>
        <v>21:ryouyoushoku_code:0</v>
      </c>
    </row>
    <row r="163" spans="1:36" s="109" customFormat="1" ht="18.75" customHeight="1" x14ac:dyDescent="0.2">
      <c r="A163" s="139"/>
      <c r="B163" s="123"/>
      <c r="C163" s="140"/>
      <c r="D163" s="141"/>
      <c r="E163" s="128"/>
      <c r="F163" s="142"/>
      <c r="G163" s="143"/>
      <c r="H163" s="204" t="s">
        <v>116</v>
      </c>
      <c r="I163" s="156" t="s">
        <v>383</v>
      </c>
      <c r="J163" s="157" t="s">
        <v>250</v>
      </c>
      <c r="K163" s="157"/>
      <c r="L163" s="160" t="s">
        <v>383</v>
      </c>
      <c r="M163" s="157" t="s">
        <v>251</v>
      </c>
      <c r="N163" s="157"/>
      <c r="O163" s="160" t="s">
        <v>383</v>
      </c>
      <c r="P163" s="157" t="s">
        <v>252</v>
      </c>
      <c r="Q163" s="162"/>
      <c r="R163" s="162"/>
      <c r="S163" s="162"/>
      <c r="T163" s="162"/>
      <c r="U163" s="162"/>
      <c r="V163" s="162"/>
      <c r="W163" s="162"/>
      <c r="X163" s="163"/>
      <c r="Y163" s="154"/>
      <c r="Z163" s="147"/>
      <c r="AA163" s="147"/>
      <c r="AB163" s="148"/>
      <c r="AC163" s="154"/>
      <c r="AD163" s="147"/>
      <c r="AE163" s="147"/>
      <c r="AF163" s="148"/>
      <c r="AI163" s="109" t="str">
        <f>"21:ninti_senmoncare_code:" &amp; IF(I163="■",1,IF(O163="■",3,IF(L163="■",2,0)))</f>
        <v>21:ninti_senmoncare_code:0</v>
      </c>
    </row>
    <row r="164" spans="1:36" s="109" customFormat="1" ht="18.75" customHeight="1" x14ac:dyDescent="0.2">
      <c r="A164" s="139"/>
      <c r="B164" s="123"/>
      <c r="C164" s="140"/>
      <c r="D164" s="141"/>
      <c r="E164" s="128"/>
      <c r="F164" s="142"/>
      <c r="G164" s="143"/>
      <c r="H164" s="250" t="s">
        <v>442</v>
      </c>
      <c r="I164" s="156" t="s">
        <v>383</v>
      </c>
      <c r="J164" s="157" t="s">
        <v>250</v>
      </c>
      <c r="K164" s="157"/>
      <c r="L164" s="160" t="s">
        <v>383</v>
      </c>
      <c r="M164" s="157" t="s">
        <v>251</v>
      </c>
      <c r="N164" s="157"/>
      <c r="O164" s="160" t="s">
        <v>383</v>
      </c>
      <c r="P164" s="157" t="s">
        <v>252</v>
      </c>
      <c r="Q164" s="162"/>
      <c r="R164" s="162"/>
      <c r="S164" s="162"/>
      <c r="T164" s="162"/>
      <c r="U164" s="251"/>
      <c r="V164" s="251"/>
      <c r="W164" s="251"/>
      <c r="X164" s="252"/>
      <c r="Y164" s="154"/>
      <c r="Z164" s="147"/>
      <c r="AA164" s="147"/>
      <c r="AB164" s="148"/>
      <c r="AC164" s="154"/>
      <c r="AD164" s="147"/>
      <c r="AE164" s="147"/>
      <c r="AF164" s="148"/>
      <c r="AI164" s="109" t="str">
        <f>"21:field225:" &amp; IF(I164="■",1,IF(L164="■",2,IF(O164="■",3,0)))</f>
        <v>21:field225:0</v>
      </c>
    </row>
    <row r="165" spans="1:36" s="109" customFormat="1" ht="18.75" customHeight="1" x14ac:dyDescent="0.2">
      <c r="A165" s="139"/>
      <c r="B165" s="123"/>
      <c r="C165" s="140"/>
      <c r="D165" s="141"/>
      <c r="E165" s="128"/>
      <c r="F165" s="142"/>
      <c r="G165" s="143"/>
      <c r="H165" s="694" t="s">
        <v>232</v>
      </c>
      <c r="I165" s="725" t="s">
        <v>383</v>
      </c>
      <c r="J165" s="726" t="s">
        <v>250</v>
      </c>
      <c r="K165" s="726"/>
      <c r="L165" s="727" t="s">
        <v>383</v>
      </c>
      <c r="M165" s="726" t="s">
        <v>306</v>
      </c>
      <c r="N165" s="726"/>
      <c r="O165" s="727" t="s">
        <v>383</v>
      </c>
      <c r="P165" s="726" t="s">
        <v>307</v>
      </c>
      <c r="Q165" s="726"/>
      <c r="R165" s="727" t="s">
        <v>383</v>
      </c>
      <c r="S165" s="726" t="s">
        <v>308</v>
      </c>
      <c r="T165" s="726"/>
      <c r="U165" s="168"/>
      <c r="V165" s="168"/>
      <c r="W165" s="168"/>
      <c r="X165" s="173"/>
      <c r="Y165" s="154"/>
      <c r="Z165" s="147"/>
      <c r="AA165" s="147"/>
      <c r="AB165" s="148"/>
      <c r="AC165" s="154"/>
      <c r="AD165" s="147"/>
      <c r="AE165" s="147"/>
      <c r="AF165" s="148"/>
      <c r="AI165" s="109" t="str">
        <f>"21:serteikyo_kyoka_code:" &amp; IF(I165="■",1,IF(L165="■",6,IF(O165="■",5,IF(R165="■",7,0))))</f>
        <v>21:serteikyo_kyoka_code:0</v>
      </c>
    </row>
    <row r="166" spans="1:36" s="109" customFormat="1" ht="18.75" customHeight="1" x14ac:dyDescent="0.2">
      <c r="A166" s="139"/>
      <c r="B166" s="123"/>
      <c r="C166" s="140"/>
      <c r="D166" s="141"/>
      <c r="E166" s="128"/>
      <c r="F166" s="142"/>
      <c r="G166" s="143"/>
      <c r="H166" s="693"/>
      <c r="I166" s="725"/>
      <c r="J166" s="726"/>
      <c r="K166" s="726"/>
      <c r="L166" s="727"/>
      <c r="M166" s="726"/>
      <c r="N166" s="726"/>
      <c r="O166" s="727"/>
      <c r="P166" s="726"/>
      <c r="Q166" s="726"/>
      <c r="R166" s="727"/>
      <c r="S166" s="726"/>
      <c r="T166" s="726"/>
      <c r="U166" s="169"/>
      <c r="V166" s="169"/>
      <c r="W166" s="169"/>
      <c r="X166" s="170"/>
      <c r="Y166" s="154"/>
      <c r="Z166" s="147"/>
      <c r="AA166" s="147"/>
      <c r="AB166" s="148"/>
      <c r="AC166" s="154"/>
      <c r="AD166" s="147"/>
      <c r="AE166" s="147"/>
      <c r="AF166" s="148"/>
    </row>
    <row r="167" spans="1:36" s="109" customFormat="1" ht="18.75" customHeight="1" x14ac:dyDescent="0.2">
      <c r="A167" s="139"/>
      <c r="B167" s="123"/>
      <c r="C167" s="140"/>
      <c r="D167" s="141"/>
      <c r="E167" s="128"/>
      <c r="F167" s="142"/>
      <c r="G167" s="143"/>
      <c r="H167" s="694" t="s">
        <v>233</v>
      </c>
      <c r="I167" s="725" t="s">
        <v>383</v>
      </c>
      <c r="J167" s="726" t="s">
        <v>250</v>
      </c>
      <c r="K167" s="726"/>
      <c r="L167" s="727" t="s">
        <v>383</v>
      </c>
      <c r="M167" s="726" t="s">
        <v>306</v>
      </c>
      <c r="N167" s="726"/>
      <c r="O167" s="727" t="s">
        <v>383</v>
      </c>
      <c r="P167" s="726" t="s">
        <v>307</v>
      </c>
      <c r="Q167" s="726"/>
      <c r="R167" s="727" t="s">
        <v>383</v>
      </c>
      <c r="S167" s="726" t="s">
        <v>308</v>
      </c>
      <c r="T167" s="726"/>
      <c r="U167" s="168"/>
      <c r="V167" s="168"/>
      <c r="W167" s="168"/>
      <c r="X167" s="173"/>
      <c r="Y167" s="154"/>
      <c r="Z167" s="147"/>
      <c r="AA167" s="147"/>
      <c r="AB167" s="148"/>
      <c r="AC167" s="154"/>
      <c r="AD167" s="147"/>
      <c r="AE167" s="147"/>
      <c r="AF167" s="148"/>
      <c r="AI167" s="109" t="str">
        <f>"21:serteikyo_kyoka_kuushou_code:" &amp; IF(I167="■",1,IF(L167="■",6,IF(O167="■",5,IF(R167="■",7,0))))</f>
        <v>21:serteikyo_kyoka_kuushou_code:0</v>
      </c>
    </row>
    <row r="168" spans="1:36" s="109" customFormat="1" ht="18.75" customHeight="1" x14ac:dyDescent="0.2">
      <c r="A168" s="139"/>
      <c r="B168" s="123"/>
      <c r="C168" s="140"/>
      <c r="D168" s="141"/>
      <c r="E168" s="128"/>
      <c r="F168" s="142"/>
      <c r="G168" s="143"/>
      <c r="H168" s="693"/>
      <c r="I168" s="725"/>
      <c r="J168" s="726"/>
      <c r="K168" s="726"/>
      <c r="L168" s="727"/>
      <c r="M168" s="726"/>
      <c r="N168" s="726"/>
      <c r="O168" s="727"/>
      <c r="P168" s="726"/>
      <c r="Q168" s="726"/>
      <c r="R168" s="727"/>
      <c r="S168" s="726"/>
      <c r="T168" s="726"/>
      <c r="U168" s="169"/>
      <c r="V168" s="169"/>
      <c r="W168" s="169"/>
      <c r="X168" s="170"/>
      <c r="Y168" s="154"/>
      <c r="Z168" s="147"/>
      <c r="AA168" s="147"/>
      <c r="AB168" s="148"/>
      <c r="AC168" s="154"/>
      <c r="AD168" s="147"/>
      <c r="AE168" s="147"/>
      <c r="AF168" s="148"/>
    </row>
    <row r="169" spans="1:36" s="109" customFormat="1" ht="18.75" customHeight="1" x14ac:dyDescent="0.2">
      <c r="A169" s="139"/>
      <c r="B169" s="123"/>
      <c r="C169" s="140"/>
      <c r="D169" s="141"/>
      <c r="E169" s="128"/>
      <c r="F169" s="142"/>
      <c r="G169" s="143"/>
      <c r="H169" s="713" t="s">
        <v>797</v>
      </c>
      <c r="I169" s="725" t="s">
        <v>383</v>
      </c>
      <c r="J169" s="726" t="s">
        <v>250</v>
      </c>
      <c r="K169" s="726"/>
      <c r="L169" s="727" t="s">
        <v>383</v>
      </c>
      <c r="M169" s="726" t="s">
        <v>267</v>
      </c>
      <c r="N169" s="726"/>
      <c r="O169" s="168"/>
      <c r="P169" s="168"/>
      <c r="Q169" s="168"/>
      <c r="R169" s="168"/>
      <c r="S169" s="168"/>
      <c r="T169" s="168"/>
      <c r="U169" s="168"/>
      <c r="V169" s="168"/>
      <c r="W169" s="168"/>
      <c r="X169" s="173"/>
      <c r="Y169" s="154"/>
      <c r="Z169" s="147"/>
      <c r="AA169" s="147"/>
      <c r="AB169" s="148"/>
      <c r="AC169" s="154"/>
      <c r="AD169" s="147"/>
      <c r="AE169" s="147"/>
      <c r="AF169" s="148"/>
      <c r="AI169" s="109" t="str">
        <f>"21:field221:" &amp; IF(I169="■",1,IF(L169="■",2,0))</f>
        <v>21:field221:0</v>
      </c>
    </row>
    <row r="170" spans="1:36" s="109" customFormat="1" ht="18.75" customHeight="1" x14ac:dyDescent="0.2">
      <c r="A170" s="139"/>
      <c r="B170" s="608"/>
      <c r="C170" s="140"/>
      <c r="D170" s="141"/>
      <c r="E170" s="128"/>
      <c r="F170" s="142"/>
      <c r="G170" s="143"/>
      <c r="H170" s="737"/>
      <c r="I170" s="725"/>
      <c r="J170" s="726"/>
      <c r="K170" s="726"/>
      <c r="L170" s="727"/>
      <c r="M170" s="726"/>
      <c r="N170" s="726"/>
      <c r="O170" s="169"/>
      <c r="P170" s="169"/>
      <c r="Q170" s="169"/>
      <c r="R170" s="169"/>
      <c r="S170" s="169"/>
      <c r="T170" s="169"/>
      <c r="U170" s="169"/>
      <c r="V170" s="169"/>
      <c r="W170" s="169"/>
      <c r="X170" s="170"/>
      <c r="Y170" s="154"/>
      <c r="Z170" s="147"/>
      <c r="AA170" s="147"/>
      <c r="AB170" s="148"/>
      <c r="AC170" s="154"/>
      <c r="AD170" s="147"/>
      <c r="AE170" s="147"/>
      <c r="AF170" s="148"/>
    </row>
    <row r="171" spans="1:36" s="621" customFormat="1" ht="18.75" customHeight="1" x14ac:dyDescent="0.2">
      <c r="A171" s="139"/>
      <c r="B171" s="608"/>
      <c r="C171" s="140"/>
      <c r="D171" s="141"/>
      <c r="E171" s="128"/>
      <c r="F171" s="142"/>
      <c r="G171" s="143"/>
      <c r="H171" s="713" t="s">
        <v>790</v>
      </c>
      <c r="I171" s="609" t="s">
        <v>383</v>
      </c>
      <c r="J171" s="616" t="s">
        <v>627</v>
      </c>
      <c r="K171" s="616"/>
      <c r="L171" s="615"/>
      <c r="M171" s="611" t="s">
        <v>383</v>
      </c>
      <c r="N171" s="616" t="s">
        <v>791</v>
      </c>
      <c r="O171" s="617"/>
      <c r="P171" s="615"/>
      <c r="Q171" s="611" t="s">
        <v>383</v>
      </c>
      <c r="R171" s="618" t="s">
        <v>798</v>
      </c>
      <c r="S171" s="615"/>
      <c r="T171" s="615"/>
      <c r="U171" s="615"/>
      <c r="V171" s="618"/>
      <c r="W171" s="619"/>
      <c r="X171" s="620"/>
      <c r="Y171" s="154"/>
      <c r="Z171" s="147"/>
      <c r="AA171" s="147"/>
      <c r="AB171" s="148"/>
      <c r="AC171" s="154"/>
      <c r="AD171" s="147"/>
      <c r="AE171" s="147"/>
      <c r="AF171" s="148"/>
    </row>
    <row r="172" spans="1:36" s="621" customFormat="1" ht="18.75" customHeight="1" x14ac:dyDescent="0.2">
      <c r="A172" s="139"/>
      <c r="B172" s="608"/>
      <c r="C172" s="140"/>
      <c r="D172" s="141"/>
      <c r="E172" s="128"/>
      <c r="F172" s="142"/>
      <c r="G172" s="143"/>
      <c r="H172" s="714"/>
      <c r="I172" s="610" t="s">
        <v>383</v>
      </c>
      <c r="J172" s="623" t="s">
        <v>799</v>
      </c>
      <c r="K172" s="623"/>
      <c r="L172" s="622"/>
      <c r="M172" s="211" t="s">
        <v>383</v>
      </c>
      <c r="N172" s="623" t="s">
        <v>800</v>
      </c>
      <c r="O172" s="624"/>
      <c r="P172" s="622"/>
      <c r="Q172" s="211" t="s">
        <v>383</v>
      </c>
      <c r="R172" s="623" t="s">
        <v>795</v>
      </c>
      <c r="S172" s="622"/>
      <c r="T172" s="623"/>
      <c r="U172" s="211" t="s">
        <v>383</v>
      </c>
      <c r="V172" s="623" t="s">
        <v>796</v>
      </c>
      <c r="W172" s="625"/>
      <c r="X172" s="626"/>
      <c r="Y172" s="154"/>
      <c r="Z172" s="147"/>
      <c r="AA172" s="147"/>
      <c r="AB172" s="148"/>
      <c r="AC172" s="154"/>
      <c r="AD172" s="147"/>
      <c r="AE172" s="147"/>
      <c r="AF172" s="148"/>
    </row>
    <row r="173" spans="1:36" s="109" customFormat="1" ht="18.75" customHeight="1" x14ac:dyDescent="0.2">
      <c r="A173" s="129"/>
      <c r="B173" s="116"/>
      <c r="C173" s="130"/>
      <c r="D173" s="131"/>
      <c r="E173" s="121"/>
      <c r="F173" s="132"/>
      <c r="G173" s="121"/>
      <c r="H173" s="253" t="s">
        <v>97</v>
      </c>
      <c r="I173" s="196" t="s">
        <v>383</v>
      </c>
      <c r="J173" s="197" t="s">
        <v>300</v>
      </c>
      <c r="K173" s="198"/>
      <c r="L173" s="199"/>
      <c r="M173" s="200" t="s">
        <v>383</v>
      </c>
      <c r="N173" s="197" t="s">
        <v>301</v>
      </c>
      <c r="O173" s="201"/>
      <c r="P173" s="201"/>
      <c r="Q173" s="201"/>
      <c r="R173" s="201"/>
      <c r="S173" s="201"/>
      <c r="T173" s="201"/>
      <c r="U173" s="201"/>
      <c r="V173" s="201"/>
      <c r="W173" s="201"/>
      <c r="X173" s="202"/>
      <c r="Y173" s="138" t="s">
        <v>383</v>
      </c>
      <c r="Z173" s="119" t="s">
        <v>249</v>
      </c>
      <c r="AA173" s="119"/>
      <c r="AB173" s="137"/>
      <c r="AC173" s="730"/>
      <c r="AD173" s="730"/>
      <c r="AE173" s="730"/>
      <c r="AF173" s="730"/>
      <c r="AG173" s="109" t="str">
        <f>"ser_code = '" &amp; IF(A183="■",22,"") &amp; "'"</f>
        <v>ser_code = ''</v>
      </c>
      <c r="AH173" s="109" t="str">
        <f>"22:jininkbn_code:" &amp; IF(F183="■",1,IF(F184="■",2,0))</f>
        <v>22:jininkbn_code:0</v>
      </c>
      <c r="AI173" s="109" t="str">
        <f>"22:yakan_kinmu_code:" &amp; IF(I173="■",1,IF(M173="■",6,0))</f>
        <v>22:yakan_kinmu_code:0</v>
      </c>
      <c r="AJ173" s="109" t="str">
        <f>"22:field203:" &amp; IF(Y173="■",1,IF(Y174="■",2,0))</f>
        <v>22:field203:0</v>
      </c>
    </row>
    <row r="174" spans="1:36" s="109" customFormat="1" ht="18.75" customHeight="1" x14ac:dyDescent="0.2">
      <c r="A174" s="139"/>
      <c r="B174" s="123"/>
      <c r="C174" s="140"/>
      <c r="D174" s="141"/>
      <c r="E174" s="128"/>
      <c r="F174" s="142"/>
      <c r="G174" s="128"/>
      <c r="H174" s="735" t="s">
        <v>93</v>
      </c>
      <c r="I174" s="175" t="s">
        <v>383</v>
      </c>
      <c r="J174" s="168" t="s">
        <v>250</v>
      </c>
      <c r="K174" s="168"/>
      <c r="L174" s="214"/>
      <c r="M174" s="206" t="s">
        <v>383</v>
      </c>
      <c r="N174" s="168" t="s">
        <v>289</v>
      </c>
      <c r="O174" s="168"/>
      <c r="P174" s="214"/>
      <c r="Q174" s="206" t="s">
        <v>383</v>
      </c>
      <c r="R174" s="172" t="s">
        <v>290</v>
      </c>
      <c r="S174" s="172"/>
      <c r="T174" s="172"/>
      <c r="U174" s="206" t="s">
        <v>383</v>
      </c>
      <c r="V174" s="172" t="s">
        <v>291</v>
      </c>
      <c r="W174" s="172"/>
      <c r="X174" s="209"/>
      <c r="Y174" s="118" t="s">
        <v>383</v>
      </c>
      <c r="Z174" s="126" t="s">
        <v>255</v>
      </c>
      <c r="AA174" s="147"/>
      <c r="AB174" s="148"/>
      <c r="AC174" s="732"/>
      <c r="AD174" s="732"/>
      <c r="AE174" s="732"/>
      <c r="AF174" s="732"/>
      <c r="AG174" s="109" t="str">
        <f>"22:sisetukbn_code:" &amp; IF(D183="■",1,0)</f>
        <v>22:sisetukbn_code:0</v>
      </c>
      <c r="AI174" s="109" t="str">
        <f>"22:"&amp;IF(AND(I174="□",M174="□",Q174="□",U174="□",I175="□",M175="□",Q175="□"),"ketu_doctor_code:0",IF(I174="■","ketu_doctor_code:1:ketu_kangos_code:1:ketu_kshoku_code:1:ketu_rryoho_code:1:ketu_sryoho_code:1:ketu_gengo_code:1",
IF(M174="■","ketu_doctor_code:2","ketu_doctor_code:1")
&amp;IF(Q174="■",":ketu_kangos_code:2",":ketu_kangos_code:1")
&amp;IF(U174="■",":ketu_kshoku_code:2",":ketu_kshoku_code:1")
&amp;IF(I175="■",":ketu_rryoho_code:2",":ketu_rryoho_code:1")
&amp;IF(M175="■",":ketu_sryoho_code:2",":ketu_sryoho_code:1")
&amp;IF(Q175="■",":ketu_gengo_code:2",":ketu_gengo_code:1")))</f>
        <v>22:ketu_doctor_code:0</v>
      </c>
    </row>
    <row r="175" spans="1:36" s="109" customFormat="1" ht="18.75" customHeight="1" x14ac:dyDescent="0.2">
      <c r="A175" s="139"/>
      <c r="B175" s="123"/>
      <c r="C175" s="140"/>
      <c r="D175" s="141"/>
      <c r="E175" s="128"/>
      <c r="F175" s="142"/>
      <c r="G175" s="128"/>
      <c r="H175" s="736"/>
      <c r="I175" s="150" t="s">
        <v>383</v>
      </c>
      <c r="J175" s="169" t="s">
        <v>292</v>
      </c>
      <c r="K175" s="169"/>
      <c r="L175" s="254"/>
      <c r="M175" s="203" t="s">
        <v>383</v>
      </c>
      <c r="N175" s="169" t="s">
        <v>293</v>
      </c>
      <c r="O175" s="169"/>
      <c r="P175" s="254"/>
      <c r="Q175" s="203" t="s">
        <v>383</v>
      </c>
      <c r="R175" s="151" t="s">
        <v>294</v>
      </c>
      <c r="S175" s="151"/>
      <c r="T175" s="151"/>
      <c r="U175" s="151"/>
      <c r="V175" s="151"/>
      <c r="W175" s="151"/>
      <c r="X175" s="238"/>
      <c r="Y175" s="147"/>
      <c r="Z175" s="147"/>
      <c r="AA175" s="147"/>
      <c r="AB175" s="148"/>
      <c r="AC175" s="732"/>
      <c r="AD175" s="732"/>
      <c r="AE175" s="732"/>
      <c r="AF175" s="732"/>
    </row>
    <row r="176" spans="1:36" s="109" customFormat="1" ht="18.75" customHeight="1" x14ac:dyDescent="0.2">
      <c r="A176" s="139"/>
      <c r="B176" s="123"/>
      <c r="C176" s="140"/>
      <c r="D176" s="141"/>
      <c r="E176" s="128"/>
      <c r="F176" s="142"/>
      <c r="G176" s="128"/>
      <c r="H176" s="255" t="s">
        <v>98</v>
      </c>
      <c r="I176" s="156" t="s">
        <v>383</v>
      </c>
      <c r="J176" s="157" t="s">
        <v>265</v>
      </c>
      <c r="K176" s="158"/>
      <c r="L176" s="159"/>
      <c r="M176" s="160" t="s">
        <v>383</v>
      </c>
      <c r="N176" s="157" t="s">
        <v>266</v>
      </c>
      <c r="O176" s="162"/>
      <c r="P176" s="162"/>
      <c r="Q176" s="162"/>
      <c r="R176" s="162"/>
      <c r="S176" s="162"/>
      <c r="T176" s="162"/>
      <c r="U176" s="162"/>
      <c r="V176" s="162"/>
      <c r="W176" s="162"/>
      <c r="X176" s="163"/>
      <c r="Y176" s="147"/>
      <c r="Z176" s="147"/>
      <c r="AA176" s="147"/>
      <c r="AB176" s="148"/>
      <c r="AC176" s="732"/>
      <c r="AD176" s="732"/>
      <c r="AE176" s="732"/>
      <c r="AF176" s="732"/>
      <c r="AI176" s="109" t="str">
        <f>"22:unitcare_code:" &amp; IF(I176="■",1,IF(M176="■",2,0))</f>
        <v>22:unitcare_code:0</v>
      </c>
    </row>
    <row r="177" spans="1:35" s="109" customFormat="1" ht="18.75" customHeight="1" x14ac:dyDescent="0.2">
      <c r="A177" s="139"/>
      <c r="B177" s="123"/>
      <c r="C177" s="248"/>
      <c r="D177" s="249"/>
      <c r="E177" s="128"/>
      <c r="F177" s="142"/>
      <c r="G177" s="143"/>
      <c r="H177" s="364" t="s">
        <v>107</v>
      </c>
      <c r="I177" s="349" t="s">
        <v>383</v>
      </c>
      <c r="J177" s="350" t="s">
        <v>395</v>
      </c>
      <c r="K177" s="351"/>
      <c r="L177" s="352"/>
      <c r="M177" s="353" t="s">
        <v>383</v>
      </c>
      <c r="N177" s="350" t="s">
        <v>396</v>
      </c>
      <c r="O177" s="351"/>
      <c r="P177" s="351"/>
      <c r="Q177" s="351"/>
      <c r="R177" s="351"/>
      <c r="S177" s="351"/>
      <c r="T177" s="351"/>
      <c r="U177" s="351"/>
      <c r="V177" s="351"/>
      <c r="W177" s="351"/>
      <c r="X177" s="365"/>
      <c r="Y177" s="154"/>
      <c r="Z177" s="147"/>
      <c r="AA177" s="147"/>
      <c r="AB177" s="148"/>
      <c r="AC177" s="732"/>
      <c r="AD177" s="732"/>
      <c r="AE177" s="732"/>
      <c r="AF177" s="732"/>
      <c r="AI177" s="109" t="str">
        <f>"22:sintaikousoku_code:" &amp; IF(I177="■",1,IF(M177="■",2,0))</f>
        <v>22:sintaikousoku_code:0</v>
      </c>
    </row>
    <row r="178" spans="1:35" s="109" customFormat="1" ht="19.5" customHeight="1" x14ac:dyDescent="0.2">
      <c r="A178" s="139"/>
      <c r="B178" s="123"/>
      <c r="C178" s="140"/>
      <c r="D178" s="141"/>
      <c r="E178" s="128"/>
      <c r="F178" s="142"/>
      <c r="G178" s="143"/>
      <c r="H178" s="155" t="s">
        <v>430</v>
      </c>
      <c r="I178" s="156" t="s">
        <v>383</v>
      </c>
      <c r="J178" s="157" t="s">
        <v>395</v>
      </c>
      <c r="K178" s="158"/>
      <c r="L178" s="159"/>
      <c r="M178" s="160" t="s">
        <v>383</v>
      </c>
      <c r="N178" s="157" t="s">
        <v>431</v>
      </c>
      <c r="O178" s="161"/>
      <c r="P178" s="157"/>
      <c r="Q178" s="162"/>
      <c r="R178" s="162"/>
      <c r="S178" s="162"/>
      <c r="T178" s="162"/>
      <c r="U178" s="162"/>
      <c r="V178" s="162"/>
      <c r="W178" s="162"/>
      <c r="X178" s="163"/>
      <c r="Y178" s="147"/>
      <c r="Z178" s="147"/>
      <c r="AA178" s="147"/>
      <c r="AB178" s="148"/>
      <c r="AC178" s="732"/>
      <c r="AD178" s="732"/>
      <c r="AE178" s="732"/>
      <c r="AF178" s="732"/>
      <c r="AI178" s="109" t="str">
        <f>"22:field223:" &amp; IF(I178="■",1,IF(M178="■",2,0))</f>
        <v>22:field223:0</v>
      </c>
    </row>
    <row r="179" spans="1:35" s="109" customFormat="1" ht="19.5" customHeight="1" x14ac:dyDescent="0.2">
      <c r="A179" s="139"/>
      <c r="B179" s="123"/>
      <c r="C179" s="140"/>
      <c r="D179" s="141"/>
      <c r="E179" s="128"/>
      <c r="F179" s="142"/>
      <c r="G179" s="143"/>
      <c r="H179" s="155" t="s">
        <v>448</v>
      </c>
      <c r="I179" s="156" t="s">
        <v>383</v>
      </c>
      <c r="J179" s="157" t="s">
        <v>395</v>
      </c>
      <c r="K179" s="158"/>
      <c r="L179" s="159"/>
      <c r="M179" s="160" t="s">
        <v>383</v>
      </c>
      <c r="N179" s="157" t="s">
        <v>431</v>
      </c>
      <c r="O179" s="161"/>
      <c r="P179" s="157"/>
      <c r="Q179" s="162"/>
      <c r="R179" s="162"/>
      <c r="S179" s="162"/>
      <c r="T179" s="162"/>
      <c r="U179" s="162"/>
      <c r="V179" s="162"/>
      <c r="W179" s="162"/>
      <c r="X179" s="163"/>
      <c r="Y179" s="147"/>
      <c r="Z179" s="147"/>
      <c r="AA179" s="147"/>
      <c r="AB179" s="148"/>
      <c r="AC179" s="732"/>
      <c r="AD179" s="732"/>
      <c r="AE179" s="732"/>
      <c r="AF179" s="732"/>
      <c r="AI179" s="109" t="str">
        <f>"22:field232:" &amp; IF(I179="■",1,IF(M179="■",2,0))</f>
        <v>22:field232:0</v>
      </c>
    </row>
    <row r="180" spans="1:35" s="1" customFormat="1" ht="19.5" customHeight="1" x14ac:dyDescent="0.2">
      <c r="A180" s="88"/>
      <c r="B180" s="91"/>
      <c r="C180" s="87"/>
      <c r="D180" s="89"/>
      <c r="E180" s="90"/>
      <c r="F180" s="101"/>
      <c r="G180" s="100"/>
      <c r="H180" s="348" t="s">
        <v>638</v>
      </c>
      <c r="I180" s="406" t="s">
        <v>383</v>
      </c>
      <c r="J180" s="381" t="s">
        <v>624</v>
      </c>
      <c r="K180" s="472"/>
      <c r="L180" s="382"/>
      <c r="M180" s="408" t="s">
        <v>383</v>
      </c>
      <c r="N180" s="381" t="s">
        <v>625</v>
      </c>
      <c r="O180" s="473"/>
      <c r="P180" s="381"/>
      <c r="Q180" s="474"/>
      <c r="R180" s="474"/>
      <c r="S180" s="474"/>
      <c r="T180" s="474"/>
      <c r="U180" s="474"/>
      <c r="V180" s="474"/>
      <c r="W180" s="474"/>
      <c r="X180" s="475"/>
      <c r="Y180" s="85"/>
      <c r="Z180" s="2"/>
      <c r="AA180" s="92"/>
      <c r="AB180" s="102"/>
      <c r="AC180" s="732"/>
      <c r="AD180" s="732"/>
      <c r="AE180" s="732"/>
      <c r="AF180" s="732"/>
      <c r="AI180" s="109" t="str">
        <f>"22:field242:" &amp; IF(I180="■",1,IF(M180="■",2,0))</f>
        <v>22:field242:0</v>
      </c>
    </row>
    <row r="181" spans="1:35" s="109" customFormat="1" ht="18.75" customHeight="1" x14ac:dyDescent="0.2">
      <c r="A181" s="139"/>
      <c r="B181" s="123"/>
      <c r="C181" s="140"/>
      <c r="D181" s="141"/>
      <c r="E181" s="128"/>
      <c r="F181" s="142"/>
      <c r="G181" s="128"/>
      <c r="H181" s="255" t="s">
        <v>111</v>
      </c>
      <c r="I181" s="156" t="s">
        <v>383</v>
      </c>
      <c r="J181" s="157" t="s">
        <v>250</v>
      </c>
      <c r="K181" s="158"/>
      <c r="L181" s="160" t="s">
        <v>383</v>
      </c>
      <c r="M181" s="157" t="s">
        <v>267</v>
      </c>
      <c r="N181" s="162"/>
      <c r="O181" s="162"/>
      <c r="P181" s="162"/>
      <c r="Q181" s="162"/>
      <c r="R181" s="162"/>
      <c r="S181" s="162"/>
      <c r="T181" s="162"/>
      <c r="U181" s="162"/>
      <c r="V181" s="162"/>
      <c r="W181" s="162"/>
      <c r="X181" s="163"/>
      <c r="Y181" s="147"/>
      <c r="Z181" s="147"/>
      <c r="AA181" s="147"/>
      <c r="AB181" s="148"/>
      <c r="AC181" s="732"/>
      <c r="AD181" s="732"/>
      <c r="AE181" s="732"/>
      <c r="AF181" s="732"/>
      <c r="AI181" s="109" t="str">
        <f>"22:yakinhaiti_code:" &amp; IF(I181="■",1,IF(L181="■",2,0))</f>
        <v>22:yakinhaiti_code:0</v>
      </c>
    </row>
    <row r="182" spans="1:35" s="109" customFormat="1" ht="18.75" customHeight="1" x14ac:dyDescent="0.2">
      <c r="A182" s="139"/>
      <c r="B182" s="123"/>
      <c r="C182" s="140"/>
      <c r="D182" s="141"/>
      <c r="E182" s="128"/>
      <c r="F182" s="142"/>
      <c r="G182" s="128"/>
      <c r="H182" s="255" t="s">
        <v>100</v>
      </c>
      <c r="I182" s="156" t="s">
        <v>383</v>
      </c>
      <c r="J182" s="157" t="s">
        <v>250</v>
      </c>
      <c r="K182" s="158"/>
      <c r="L182" s="160" t="s">
        <v>383</v>
      </c>
      <c r="M182" s="157" t="s">
        <v>267</v>
      </c>
      <c r="N182" s="162"/>
      <c r="O182" s="162"/>
      <c r="P182" s="162"/>
      <c r="Q182" s="162"/>
      <c r="R182" s="162"/>
      <c r="S182" s="162"/>
      <c r="T182" s="162"/>
      <c r="U182" s="162"/>
      <c r="V182" s="162"/>
      <c r="W182" s="162"/>
      <c r="X182" s="163"/>
      <c r="Y182" s="147"/>
      <c r="Z182" s="147"/>
      <c r="AA182" s="147"/>
      <c r="AB182" s="148"/>
      <c r="AC182" s="732"/>
      <c r="AD182" s="732"/>
      <c r="AE182" s="732"/>
      <c r="AF182" s="732"/>
      <c r="AI182" s="109" t="str">
        <f>"22:ninticare_code:" &amp; IF(I182="■",1,IF(L182="■",2,0))</f>
        <v>22:ninticare_code:0</v>
      </c>
    </row>
    <row r="183" spans="1:35" s="109" customFormat="1" ht="18.75" customHeight="1" x14ac:dyDescent="0.2">
      <c r="A183" s="125" t="s">
        <v>383</v>
      </c>
      <c r="B183" s="123">
        <v>22</v>
      </c>
      <c r="C183" s="140" t="s">
        <v>193</v>
      </c>
      <c r="D183" s="118" t="s">
        <v>383</v>
      </c>
      <c r="E183" s="128" t="s">
        <v>315</v>
      </c>
      <c r="F183" s="118" t="s">
        <v>383</v>
      </c>
      <c r="G183" s="128" t="s">
        <v>313</v>
      </c>
      <c r="H183" s="255" t="s">
        <v>110</v>
      </c>
      <c r="I183" s="156" t="s">
        <v>383</v>
      </c>
      <c r="J183" s="157" t="s">
        <v>250</v>
      </c>
      <c r="K183" s="158"/>
      <c r="L183" s="160" t="s">
        <v>383</v>
      </c>
      <c r="M183" s="157" t="s">
        <v>267</v>
      </c>
      <c r="N183" s="162"/>
      <c r="O183" s="162"/>
      <c r="P183" s="162"/>
      <c r="Q183" s="162"/>
      <c r="R183" s="162"/>
      <c r="S183" s="162"/>
      <c r="T183" s="162"/>
      <c r="U183" s="162"/>
      <c r="V183" s="162"/>
      <c r="W183" s="162"/>
      <c r="X183" s="163"/>
      <c r="Y183" s="147"/>
      <c r="Z183" s="147"/>
      <c r="AA183" s="147"/>
      <c r="AB183" s="148"/>
      <c r="AC183" s="732"/>
      <c r="AD183" s="732"/>
      <c r="AE183" s="732"/>
      <c r="AF183" s="732"/>
      <c r="AI183" s="109" t="str">
        <f>"22:jyakuninti_uke_code:" &amp; IF(I183="■",1,IF(L183="■",2,0))</f>
        <v>22:jyakuninti_uke_code:0</v>
      </c>
    </row>
    <row r="184" spans="1:35" s="109" customFormat="1" ht="18.75" customHeight="1" x14ac:dyDescent="0.2">
      <c r="A184" s="139"/>
      <c r="B184" s="123"/>
      <c r="C184" s="140"/>
      <c r="D184" s="142"/>
      <c r="E184" s="128"/>
      <c r="F184" s="118" t="s">
        <v>383</v>
      </c>
      <c r="G184" s="128" t="s">
        <v>314</v>
      </c>
      <c r="H184" s="255" t="s">
        <v>218</v>
      </c>
      <c r="I184" s="156" t="s">
        <v>383</v>
      </c>
      <c r="J184" s="157" t="s">
        <v>250</v>
      </c>
      <c r="K184" s="157"/>
      <c r="L184" s="160" t="s">
        <v>383</v>
      </c>
      <c r="M184" s="157" t="s">
        <v>251</v>
      </c>
      <c r="N184" s="157"/>
      <c r="O184" s="160" t="s">
        <v>383</v>
      </c>
      <c r="P184" s="157" t="s">
        <v>252</v>
      </c>
      <c r="Q184" s="162"/>
      <c r="R184" s="162"/>
      <c r="S184" s="162"/>
      <c r="T184" s="162"/>
      <c r="U184" s="162"/>
      <c r="V184" s="162"/>
      <c r="W184" s="162"/>
      <c r="X184" s="163"/>
      <c r="Y184" s="147"/>
      <c r="Z184" s="147"/>
      <c r="AA184" s="147"/>
      <c r="AB184" s="148"/>
      <c r="AC184" s="732"/>
      <c r="AD184" s="732"/>
      <c r="AE184" s="732"/>
      <c r="AF184" s="732"/>
      <c r="AI184" s="109" t="str">
        <f>"22:zaitaku_hukki_code:" &amp; IF(I184="■",1,IF(L184="■",2,IF(O184="■",3,0)))</f>
        <v>22:zaitaku_hukki_code:0</v>
      </c>
    </row>
    <row r="185" spans="1:35" s="109" customFormat="1" ht="18.75" customHeight="1" x14ac:dyDescent="0.2">
      <c r="A185" s="139"/>
      <c r="B185" s="123"/>
      <c r="C185" s="140"/>
      <c r="D185" s="141"/>
      <c r="E185" s="128"/>
      <c r="F185" s="142"/>
      <c r="G185" s="128"/>
      <c r="H185" s="255" t="s">
        <v>95</v>
      </c>
      <c r="I185" s="156" t="s">
        <v>383</v>
      </c>
      <c r="J185" s="157" t="s">
        <v>265</v>
      </c>
      <c r="K185" s="158"/>
      <c r="L185" s="159"/>
      <c r="M185" s="160" t="s">
        <v>383</v>
      </c>
      <c r="N185" s="157" t="s">
        <v>266</v>
      </c>
      <c r="O185" s="162"/>
      <c r="P185" s="162"/>
      <c r="Q185" s="162"/>
      <c r="R185" s="162"/>
      <c r="S185" s="162"/>
      <c r="T185" s="162"/>
      <c r="U185" s="162"/>
      <c r="V185" s="162"/>
      <c r="W185" s="162"/>
      <c r="X185" s="163"/>
      <c r="Y185" s="147"/>
      <c r="Z185" s="147"/>
      <c r="AA185" s="147"/>
      <c r="AB185" s="148"/>
      <c r="AC185" s="732"/>
      <c r="AD185" s="732"/>
      <c r="AE185" s="732"/>
      <c r="AF185" s="732"/>
      <c r="AI185" s="109" t="str">
        <f>"22:sougei_code:" &amp; IF(I185="■",1,IF(M185="■",2,0))</f>
        <v>22:sougei_code:0</v>
      </c>
    </row>
    <row r="186" spans="1:35" s="109" customFormat="1" ht="19.5" customHeight="1" x14ac:dyDescent="0.2">
      <c r="A186" s="139"/>
      <c r="B186" s="123"/>
      <c r="C186" s="140"/>
      <c r="D186" s="141"/>
      <c r="E186" s="128"/>
      <c r="F186" s="142"/>
      <c r="G186" s="128"/>
      <c r="H186" s="155" t="s">
        <v>433</v>
      </c>
      <c r="I186" s="156" t="s">
        <v>383</v>
      </c>
      <c r="J186" s="157" t="s">
        <v>250</v>
      </c>
      <c r="K186" s="157"/>
      <c r="L186" s="160" t="s">
        <v>383</v>
      </c>
      <c r="M186" s="157" t="s">
        <v>267</v>
      </c>
      <c r="N186" s="157"/>
      <c r="O186" s="162"/>
      <c r="P186" s="157"/>
      <c r="Q186" s="162"/>
      <c r="R186" s="162"/>
      <c r="S186" s="162"/>
      <c r="T186" s="162"/>
      <c r="U186" s="162"/>
      <c r="V186" s="162"/>
      <c r="W186" s="162"/>
      <c r="X186" s="163"/>
      <c r="Y186" s="147"/>
      <c r="Z186" s="147"/>
      <c r="AA186" s="147"/>
      <c r="AB186" s="148"/>
      <c r="AC186" s="732"/>
      <c r="AD186" s="732"/>
      <c r="AE186" s="732"/>
      <c r="AF186" s="732"/>
      <c r="AI186" s="109" t="str">
        <f>"22:field224:" &amp; IF(I186="■",1,IF(L186="■",2,0))</f>
        <v>22:field224:0</v>
      </c>
    </row>
    <row r="187" spans="1:35" s="109" customFormat="1" ht="18.75" customHeight="1" x14ac:dyDescent="0.2">
      <c r="A187" s="139"/>
      <c r="B187" s="123"/>
      <c r="C187" s="140"/>
      <c r="D187" s="141"/>
      <c r="E187" s="128"/>
      <c r="F187" s="142"/>
      <c r="G187" s="128"/>
      <c r="H187" s="255" t="s">
        <v>112</v>
      </c>
      <c r="I187" s="156" t="s">
        <v>383</v>
      </c>
      <c r="J187" s="157" t="s">
        <v>250</v>
      </c>
      <c r="K187" s="158"/>
      <c r="L187" s="160" t="s">
        <v>383</v>
      </c>
      <c r="M187" s="157" t="s">
        <v>267</v>
      </c>
      <c r="N187" s="162"/>
      <c r="O187" s="162"/>
      <c r="P187" s="162"/>
      <c r="Q187" s="162"/>
      <c r="R187" s="162"/>
      <c r="S187" s="162"/>
      <c r="T187" s="162"/>
      <c r="U187" s="162"/>
      <c r="V187" s="162"/>
      <c r="W187" s="162"/>
      <c r="X187" s="163"/>
      <c r="Y187" s="147"/>
      <c r="Z187" s="147"/>
      <c r="AA187" s="147"/>
      <c r="AB187" s="148"/>
      <c r="AC187" s="732"/>
      <c r="AD187" s="732"/>
      <c r="AE187" s="732"/>
      <c r="AF187" s="732"/>
      <c r="AI187" s="109" t="str">
        <f>"22:ryouyoushoku_code:" &amp; IF(I187="■",1,IF(L187="■",2,0))</f>
        <v>22:ryouyoushoku_code:0</v>
      </c>
    </row>
    <row r="188" spans="1:35" s="109" customFormat="1" ht="18.75" customHeight="1" x14ac:dyDescent="0.2">
      <c r="A188" s="139"/>
      <c r="B188" s="123"/>
      <c r="C188" s="140"/>
      <c r="D188" s="141"/>
      <c r="E188" s="128"/>
      <c r="F188" s="142"/>
      <c r="G188" s="128"/>
      <c r="H188" s="255" t="s">
        <v>184</v>
      </c>
      <c r="I188" s="156" t="s">
        <v>383</v>
      </c>
      <c r="J188" s="157" t="s">
        <v>250</v>
      </c>
      <c r="K188" s="157"/>
      <c r="L188" s="160" t="s">
        <v>383</v>
      </c>
      <c r="M188" s="157" t="s">
        <v>251</v>
      </c>
      <c r="N188" s="157"/>
      <c r="O188" s="160" t="s">
        <v>383</v>
      </c>
      <c r="P188" s="157" t="s">
        <v>252</v>
      </c>
      <c r="Q188" s="162"/>
      <c r="R188" s="162"/>
      <c r="S188" s="162"/>
      <c r="T188" s="162"/>
      <c r="U188" s="162"/>
      <c r="V188" s="162"/>
      <c r="W188" s="162"/>
      <c r="X188" s="163"/>
      <c r="Y188" s="147"/>
      <c r="Z188" s="147"/>
      <c r="AA188" s="147"/>
      <c r="AB188" s="148"/>
      <c r="AC188" s="732"/>
      <c r="AD188" s="732"/>
      <c r="AE188" s="732"/>
      <c r="AF188" s="732"/>
      <c r="AI188" s="109" t="str">
        <f>"22:ninti_senmoncare_code:" &amp; IF(I188="■",1,IF(O188="■",3,IF(L188="■",2,0)))</f>
        <v>22:ninti_senmoncare_code:0</v>
      </c>
    </row>
    <row r="189" spans="1:35" s="109" customFormat="1" ht="18.75" customHeight="1" x14ac:dyDescent="0.2">
      <c r="A189" s="139"/>
      <c r="B189" s="123"/>
      <c r="C189" s="140"/>
      <c r="D189" s="141"/>
      <c r="E189" s="128"/>
      <c r="F189" s="142"/>
      <c r="G189" s="128"/>
      <c r="H189" s="250" t="s">
        <v>442</v>
      </c>
      <c r="I189" s="156" t="s">
        <v>383</v>
      </c>
      <c r="J189" s="157" t="s">
        <v>250</v>
      </c>
      <c r="K189" s="157"/>
      <c r="L189" s="160" t="s">
        <v>383</v>
      </c>
      <c r="M189" s="157" t="s">
        <v>251</v>
      </c>
      <c r="N189" s="157"/>
      <c r="O189" s="160" t="s">
        <v>383</v>
      </c>
      <c r="P189" s="157" t="s">
        <v>252</v>
      </c>
      <c r="Q189" s="162"/>
      <c r="R189" s="162"/>
      <c r="S189" s="162"/>
      <c r="T189" s="162"/>
      <c r="U189" s="251"/>
      <c r="V189" s="251"/>
      <c r="W189" s="251"/>
      <c r="X189" s="252"/>
      <c r="Y189" s="147"/>
      <c r="Z189" s="147"/>
      <c r="AA189" s="147"/>
      <c r="AB189" s="148"/>
      <c r="AC189" s="732"/>
      <c r="AD189" s="732"/>
      <c r="AE189" s="732"/>
      <c r="AF189" s="732"/>
      <c r="AI189" s="109" t="str">
        <f>"22:field225:" &amp; IF(I189="■",1,IF(L189="■",2,IF(O189="■",3,0)))</f>
        <v>22:field225:0</v>
      </c>
    </row>
    <row r="190" spans="1:35" s="109" customFormat="1" ht="18.75" customHeight="1" x14ac:dyDescent="0.2">
      <c r="A190" s="139"/>
      <c r="B190" s="123"/>
      <c r="C190" s="140"/>
      <c r="D190" s="141"/>
      <c r="E190" s="128"/>
      <c r="F190" s="142"/>
      <c r="G190" s="128"/>
      <c r="H190" s="256" t="s">
        <v>118</v>
      </c>
      <c r="I190" s="156" t="s">
        <v>383</v>
      </c>
      <c r="J190" s="157" t="s">
        <v>250</v>
      </c>
      <c r="K190" s="157"/>
      <c r="L190" s="160" t="s">
        <v>383</v>
      </c>
      <c r="M190" s="157" t="s">
        <v>258</v>
      </c>
      <c r="N190" s="157"/>
      <c r="O190" s="160" t="s">
        <v>383</v>
      </c>
      <c r="P190" s="157" t="s">
        <v>259</v>
      </c>
      <c r="Q190" s="207"/>
      <c r="R190" s="160" t="s">
        <v>383</v>
      </c>
      <c r="S190" s="157" t="s">
        <v>283</v>
      </c>
      <c r="T190" s="207"/>
      <c r="U190" s="207"/>
      <c r="V190" s="207"/>
      <c r="W190" s="207"/>
      <c r="X190" s="208"/>
      <c r="Y190" s="147"/>
      <c r="Z190" s="147"/>
      <c r="AA190" s="147"/>
      <c r="AB190" s="148"/>
      <c r="AC190" s="732"/>
      <c r="AD190" s="732"/>
      <c r="AE190" s="732"/>
      <c r="AF190" s="732"/>
      <c r="AI190" s="109" t="str">
        <f>"22:serteikyo_kyoka_code:" &amp; IF(I190="■",1,IF(L190="■",6,IF(O190="■",5,IF(R190="■",7,0))))</f>
        <v>22:serteikyo_kyoka_code:0</v>
      </c>
    </row>
    <row r="191" spans="1:35" s="109" customFormat="1" ht="18.75" customHeight="1" x14ac:dyDescent="0.2">
      <c r="A191" s="139"/>
      <c r="B191" s="123"/>
      <c r="C191" s="140"/>
      <c r="D191" s="141"/>
      <c r="E191" s="128"/>
      <c r="F191" s="142"/>
      <c r="G191" s="128"/>
      <c r="H191" s="713" t="s">
        <v>801</v>
      </c>
      <c r="I191" s="725" t="s">
        <v>383</v>
      </c>
      <c r="J191" s="726" t="s">
        <v>250</v>
      </c>
      <c r="K191" s="726"/>
      <c r="L191" s="727" t="s">
        <v>383</v>
      </c>
      <c r="M191" s="726" t="s">
        <v>267</v>
      </c>
      <c r="N191" s="726"/>
      <c r="O191" s="168"/>
      <c r="P191" s="168"/>
      <c r="Q191" s="168"/>
      <c r="R191" s="168"/>
      <c r="S191" s="168"/>
      <c r="T191" s="168"/>
      <c r="U191" s="168"/>
      <c r="V191" s="168"/>
      <c r="W191" s="168"/>
      <c r="X191" s="173"/>
      <c r="Y191" s="147"/>
      <c r="Z191" s="147"/>
      <c r="AA191" s="147"/>
      <c r="AB191" s="148"/>
      <c r="AC191" s="732"/>
      <c r="AD191" s="732"/>
      <c r="AE191" s="732"/>
      <c r="AF191" s="732"/>
      <c r="AI191" s="109" t="str">
        <f>"22:field221:" &amp; IF(I191="■",1,IF(L191="■",2,0))</f>
        <v>22:field221:0</v>
      </c>
    </row>
    <row r="192" spans="1:35" s="109" customFormat="1" ht="24.6" customHeight="1" x14ac:dyDescent="0.2">
      <c r="A192" s="139"/>
      <c r="B192" s="608"/>
      <c r="C192" s="140"/>
      <c r="D192" s="141"/>
      <c r="E192" s="128"/>
      <c r="F192" s="142"/>
      <c r="G192" s="128"/>
      <c r="H192" s="737"/>
      <c r="I192" s="725"/>
      <c r="J192" s="726"/>
      <c r="K192" s="726"/>
      <c r="L192" s="727"/>
      <c r="M192" s="708"/>
      <c r="N192" s="726"/>
      <c r="O192" s="169"/>
      <c r="P192" s="169"/>
      <c r="Q192" s="169"/>
      <c r="R192" s="169"/>
      <c r="S192" s="169"/>
      <c r="T192" s="169"/>
      <c r="U192" s="169"/>
      <c r="V192" s="169"/>
      <c r="W192" s="169"/>
      <c r="X192" s="170"/>
      <c r="Y192" s="147"/>
      <c r="Z192" s="147"/>
      <c r="AA192" s="147"/>
      <c r="AB192" s="148"/>
      <c r="AC192" s="732"/>
      <c r="AD192" s="732"/>
      <c r="AE192" s="732"/>
      <c r="AF192" s="732"/>
    </row>
    <row r="193" spans="1:36" s="621" customFormat="1" ht="18.75" customHeight="1" x14ac:dyDescent="0.2">
      <c r="A193" s="139"/>
      <c r="B193" s="608"/>
      <c r="C193" s="140"/>
      <c r="D193" s="141"/>
      <c r="E193" s="128"/>
      <c r="F193" s="142"/>
      <c r="G193" s="128"/>
      <c r="H193" s="713" t="s">
        <v>790</v>
      </c>
      <c r="I193" s="609" t="s">
        <v>383</v>
      </c>
      <c r="J193" s="616" t="s">
        <v>627</v>
      </c>
      <c r="K193" s="616"/>
      <c r="L193" s="615"/>
      <c r="M193" s="674" t="s">
        <v>383</v>
      </c>
      <c r="N193" s="616" t="s">
        <v>791</v>
      </c>
      <c r="O193" s="617"/>
      <c r="P193" s="615"/>
      <c r="Q193" s="611" t="s">
        <v>383</v>
      </c>
      <c r="R193" s="618" t="s">
        <v>798</v>
      </c>
      <c r="S193" s="615"/>
      <c r="T193" s="615"/>
      <c r="U193" s="615"/>
      <c r="V193" s="618"/>
      <c r="W193" s="619"/>
      <c r="X193" s="620"/>
      <c r="Y193" s="147"/>
      <c r="Z193" s="147"/>
      <c r="AA193" s="147"/>
      <c r="AB193" s="148"/>
      <c r="AC193" s="733"/>
      <c r="AD193" s="733"/>
      <c r="AE193" s="733"/>
      <c r="AF193" s="733"/>
    </row>
    <row r="194" spans="1:36" s="621" customFormat="1" ht="18.75" customHeight="1" x14ac:dyDescent="0.2">
      <c r="A194" s="183"/>
      <c r="B194" s="613"/>
      <c r="C194" s="185"/>
      <c r="D194" s="186"/>
      <c r="E194" s="187"/>
      <c r="F194" s="188"/>
      <c r="G194" s="187"/>
      <c r="H194" s="714"/>
      <c r="I194" s="610" t="s">
        <v>383</v>
      </c>
      <c r="J194" s="623" t="s">
        <v>799</v>
      </c>
      <c r="K194" s="618"/>
      <c r="L194" s="628"/>
      <c r="M194" s="612" t="s">
        <v>383</v>
      </c>
      <c r="N194" s="623" t="s">
        <v>800</v>
      </c>
      <c r="O194" s="624"/>
      <c r="P194" s="622"/>
      <c r="Q194" s="612" t="s">
        <v>383</v>
      </c>
      <c r="R194" s="623" t="s">
        <v>795</v>
      </c>
      <c r="S194" s="622"/>
      <c r="T194" s="623"/>
      <c r="U194" s="211" t="s">
        <v>383</v>
      </c>
      <c r="V194" s="623" t="s">
        <v>796</v>
      </c>
      <c r="W194" s="625"/>
      <c r="X194" s="626"/>
      <c r="Y194" s="147"/>
      <c r="Z194" s="147"/>
      <c r="AA194" s="147"/>
      <c r="AB194" s="148"/>
      <c r="AC194" s="733"/>
      <c r="AD194" s="733"/>
      <c r="AE194" s="733"/>
      <c r="AF194" s="733"/>
    </row>
    <row r="195" spans="1:36" s="109" customFormat="1" ht="18.75" customHeight="1" x14ac:dyDescent="0.2">
      <c r="A195" s="139"/>
      <c r="B195" s="608"/>
      <c r="C195" s="140"/>
      <c r="D195" s="141"/>
      <c r="E195" s="128"/>
      <c r="F195" s="142"/>
      <c r="G195" s="128"/>
      <c r="H195" s="253" t="s">
        <v>97</v>
      </c>
      <c r="I195" s="196" t="s">
        <v>383</v>
      </c>
      <c r="J195" s="197" t="s">
        <v>300</v>
      </c>
      <c r="K195" s="198"/>
      <c r="L195" s="199"/>
      <c r="M195" s="200" t="s">
        <v>383</v>
      </c>
      <c r="N195" s="197" t="s">
        <v>301</v>
      </c>
      <c r="O195" s="201"/>
      <c r="P195" s="201"/>
      <c r="Q195" s="201"/>
      <c r="R195" s="201"/>
      <c r="S195" s="201"/>
      <c r="T195" s="201"/>
      <c r="U195" s="201"/>
      <c r="V195" s="201"/>
      <c r="W195" s="201"/>
      <c r="X195" s="202"/>
      <c r="Y195" s="138" t="s">
        <v>383</v>
      </c>
      <c r="Z195" s="119" t="s">
        <v>249</v>
      </c>
      <c r="AA195" s="119"/>
      <c r="AB195" s="137"/>
      <c r="AC195" s="730"/>
      <c r="AD195" s="730"/>
      <c r="AE195" s="730"/>
      <c r="AF195" s="730"/>
      <c r="AG195" s="109" t="str">
        <f>"ser_code = '" &amp; IF(A204="■",22,"") &amp; "'"</f>
        <v>ser_code = ''</v>
      </c>
      <c r="AH195" s="109" t="str">
        <f>"22:jininkbn_code:" &amp; IF(F204="■",1,IF(F205="■",2,0))</f>
        <v>22:jininkbn_code:0</v>
      </c>
      <c r="AI195" s="109" t="str">
        <f>"22:yakan_kinmu_code:" &amp; IF(I195="■",1,IF(M195="■",6,0))</f>
        <v>22:yakan_kinmu_code:0</v>
      </c>
      <c r="AJ195" s="109" t="str">
        <f>"22:field203:" &amp; IF(Y195="■",1,IF(Y196="■",2,0))</f>
        <v>22:field203:0</v>
      </c>
    </row>
    <row r="196" spans="1:36" s="109" customFormat="1" ht="18.75" customHeight="1" x14ac:dyDescent="0.2">
      <c r="A196" s="139"/>
      <c r="B196" s="123"/>
      <c r="C196" s="140"/>
      <c r="D196" s="141"/>
      <c r="E196" s="128"/>
      <c r="F196" s="142"/>
      <c r="G196" s="128"/>
      <c r="H196" s="735" t="s">
        <v>93</v>
      </c>
      <c r="I196" s="175" t="s">
        <v>383</v>
      </c>
      <c r="J196" s="168" t="s">
        <v>250</v>
      </c>
      <c r="K196" s="168"/>
      <c r="L196" s="214"/>
      <c r="M196" s="206" t="s">
        <v>383</v>
      </c>
      <c r="N196" s="168" t="s">
        <v>289</v>
      </c>
      <c r="O196" s="168"/>
      <c r="P196" s="214"/>
      <c r="Q196" s="206" t="s">
        <v>383</v>
      </c>
      <c r="R196" s="172" t="s">
        <v>290</v>
      </c>
      <c r="S196" s="172"/>
      <c r="T196" s="172"/>
      <c r="U196" s="206" t="s">
        <v>383</v>
      </c>
      <c r="V196" s="172" t="s">
        <v>291</v>
      </c>
      <c r="W196" s="172"/>
      <c r="X196" s="209"/>
      <c r="Y196" s="118" t="s">
        <v>383</v>
      </c>
      <c r="Z196" s="126" t="s">
        <v>255</v>
      </c>
      <c r="AA196" s="147"/>
      <c r="AB196" s="148"/>
      <c r="AC196" s="732"/>
      <c r="AD196" s="732"/>
      <c r="AE196" s="732"/>
      <c r="AF196" s="732"/>
      <c r="AG196" s="109" t="str">
        <f>"22:sisetukbn_code:" &amp; IF(D204="■",1,0)</f>
        <v>22:sisetukbn_code:0</v>
      </c>
      <c r="AI196" s="109" t="str">
        <f>"22:"&amp;IF(AND(I196="□",M196="□",Q196="□",U196="□",I197="□",M197="□",Q197="□"),"ketu_doctor_code:0",IF(I196="■","ketu_doctor_code:1:ketu_kangos_code:1:ketu_kshoku_code:1:ketu_rryoho_code:1:ketu_sryoho_code:1:ketu_gengo_code:1",
IF(M196="■","ketu_doctor_code:2","ketu_doctor_code:1")
&amp;IF(Q196="■",":ketu_kangos_code:2",":ketu_kangos_code:1")
&amp;IF(U196="■",":ketu_kshoku_code:2",":ketu_kshoku_code:1")
&amp;IF(I197="■",":ketu_rryoho_code:2",":ketu_rryoho_code:1")
&amp;IF(M197="■",":ketu_sryoho_code:2",":ketu_sryoho_code:1")
&amp;IF(Q197="■",":ketu_gengo_code:2",":ketu_gengo_code:1")))</f>
        <v>22:ketu_doctor_code:0</v>
      </c>
    </row>
    <row r="197" spans="1:36" s="109" customFormat="1" ht="18.75" customHeight="1" x14ac:dyDescent="0.2">
      <c r="A197" s="139"/>
      <c r="B197" s="123"/>
      <c r="C197" s="140"/>
      <c r="D197" s="141"/>
      <c r="E197" s="128"/>
      <c r="F197" s="142"/>
      <c r="G197" s="128"/>
      <c r="H197" s="736"/>
      <c r="I197" s="150" t="s">
        <v>383</v>
      </c>
      <c r="J197" s="169" t="s">
        <v>292</v>
      </c>
      <c r="K197" s="169"/>
      <c r="L197" s="254"/>
      <c r="M197" s="203" t="s">
        <v>383</v>
      </c>
      <c r="N197" s="169" t="s">
        <v>293</v>
      </c>
      <c r="O197" s="169"/>
      <c r="P197" s="254"/>
      <c r="Q197" s="203" t="s">
        <v>383</v>
      </c>
      <c r="R197" s="151" t="s">
        <v>294</v>
      </c>
      <c r="S197" s="151"/>
      <c r="T197" s="151"/>
      <c r="U197" s="151"/>
      <c r="V197" s="151"/>
      <c r="W197" s="151"/>
      <c r="X197" s="238"/>
      <c r="Y197" s="147"/>
      <c r="Z197" s="147"/>
      <c r="AA197" s="147"/>
      <c r="AB197" s="148"/>
      <c r="AC197" s="732"/>
      <c r="AD197" s="732"/>
      <c r="AE197" s="732"/>
      <c r="AF197" s="732"/>
    </row>
    <row r="198" spans="1:36" s="109" customFormat="1" ht="18.75" customHeight="1" x14ac:dyDescent="0.2">
      <c r="A198" s="139"/>
      <c r="B198" s="123"/>
      <c r="C198" s="140"/>
      <c r="D198" s="141"/>
      <c r="E198" s="128"/>
      <c r="F198" s="142"/>
      <c r="G198" s="128"/>
      <c r="H198" s="255" t="s">
        <v>98</v>
      </c>
      <c r="I198" s="156" t="s">
        <v>383</v>
      </c>
      <c r="J198" s="157" t="s">
        <v>265</v>
      </c>
      <c r="K198" s="158"/>
      <c r="L198" s="159"/>
      <c r="M198" s="160" t="s">
        <v>383</v>
      </c>
      <c r="N198" s="157" t="s">
        <v>266</v>
      </c>
      <c r="O198" s="162"/>
      <c r="P198" s="162"/>
      <c r="Q198" s="162"/>
      <c r="R198" s="162"/>
      <c r="S198" s="162"/>
      <c r="T198" s="162"/>
      <c r="U198" s="162"/>
      <c r="V198" s="162"/>
      <c r="W198" s="162"/>
      <c r="X198" s="163"/>
      <c r="Y198" s="147"/>
      <c r="Z198" s="147"/>
      <c r="AA198" s="147"/>
      <c r="AB198" s="148"/>
      <c r="AC198" s="732"/>
      <c r="AD198" s="732"/>
      <c r="AE198" s="732"/>
      <c r="AF198" s="732"/>
      <c r="AI198" s="109" t="str">
        <f>"22:unitcare_code:" &amp; IF(I198="■",1,IF(M198="■",2,0))</f>
        <v>22:unitcare_code:0</v>
      </c>
    </row>
    <row r="199" spans="1:36" s="109" customFormat="1" ht="18.75" customHeight="1" x14ac:dyDescent="0.2">
      <c r="A199" s="139"/>
      <c r="B199" s="123"/>
      <c r="C199" s="248"/>
      <c r="D199" s="249"/>
      <c r="E199" s="128"/>
      <c r="F199" s="142"/>
      <c r="G199" s="143"/>
      <c r="H199" s="364" t="s">
        <v>107</v>
      </c>
      <c r="I199" s="349" t="s">
        <v>383</v>
      </c>
      <c r="J199" s="350" t="s">
        <v>395</v>
      </c>
      <c r="K199" s="351"/>
      <c r="L199" s="352"/>
      <c r="M199" s="353" t="s">
        <v>383</v>
      </c>
      <c r="N199" s="350" t="s">
        <v>396</v>
      </c>
      <c r="O199" s="351"/>
      <c r="P199" s="351"/>
      <c r="Q199" s="351"/>
      <c r="R199" s="351"/>
      <c r="S199" s="351"/>
      <c r="T199" s="351"/>
      <c r="U199" s="351"/>
      <c r="V199" s="351"/>
      <c r="W199" s="351"/>
      <c r="X199" s="365"/>
      <c r="Y199" s="154"/>
      <c r="Z199" s="147"/>
      <c r="AA199" s="147"/>
      <c r="AB199" s="148"/>
      <c r="AC199" s="732"/>
      <c r="AD199" s="732"/>
      <c r="AE199" s="732"/>
      <c r="AF199" s="732"/>
      <c r="AI199" s="109" t="str">
        <f>"22:sintaikousoku_code:" &amp; IF(I199="■",1,IF(M199="■",2,0))</f>
        <v>22:sintaikousoku_code:0</v>
      </c>
    </row>
    <row r="200" spans="1:36" s="109" customFormat="1" ht="19.5" customHeight="1" x14ac:dyDescent="0.2">
      <c r="A200" s="139"/>
      <c r="B200" s="123"/>
      <c r="C200" s="140"/>
      <c r="D200" s="141"/>
      <c r="E200" s="128"/>
      <c r="F200" s="142"/>
      <c r="G200" s="143"/>
      <c r="H200" s="155" t="s">
        <v>430</v>
      </c>
      <c r="I200" s="156" t="s">
        <v>383</v>
      </c>
      <c r="J200" s="157" t="s">
        <v>395</v>
      </c>
      <c r="K200" s="158"/>
      <c r="L200" s="159"/>
      <c r="M200" s="160" t="s">
        <v>383</v>
      </c>
      <c r="N200" s="157" t="s">
        <v>431</v>
      </c>
      <c r="O200" s="161"/>
      <c r="P200" s="157"/>
      <c r="Q200" s="162"/>
      <c r="R200" s="162"/>
      <c r="S200" s="162"/>
      <c r="T200" s="162"/>
      <c r="U200" s="162"/>
      <c r="V200" s="162"/>
      <c r="W200" s="162"/>
      <c r="X200" s="163"/>
      <c r="Y200" s="147"/>
      <c r="Z200" s="147"/>
      <c r="AA200" s="147"/>
      <c r="AB200" s="148"/>
      <c r="AC200" s="732"/>
      <c r="AD200" s="732"/>
      <c r="AE200" s="732"/>
      <c r="AF200" s="732"/>
      <c r="AI200" s="109" t="str">
        <f>"22:field223:" &amp; IF(I200="■",1,IF(M200="■",2,0))</f>
        <v>22:field223:0</v>
      </c>
    </row>
    <row r="201" spans="1:36" s="109" customFormat="1" ht="19.5" customHeight="1" x14ac:dyDescent="0.2">
      <c r="A201" s="139"/>
      <c r="B201" s="123"/>
      <c r="C201" s="140"/>
      <c r="D201" s="141"/>
      <c r="E201" s="128"/>
      <c r="F201" s="142"/>
      <c r="G201" s="143"/>
      <c r="H201" s="155" t="s">
        <v>448</v>
      </c>
      <c r="I201" s="156" t="s">
        <v>383</v>
      </c>
      <c r="J201" s="157" t="s">
        <v>395</v>
      </c>
      <c r="K201" s="158"/>
      <c r="L201" s="159"/>
      <c r="M201" s="160" t="s">
        <v>383</v>
      </c>
      <c r="N201" s="157" t="s">
        <v>431</v>
      </c>
      <c r="O201" s="161"/>
      <c r="P201" s="157"/>
      <c r="Q201" s="162"/>
      <c r="R201" s="162"/>
      <c r="S201" s="162"/>
      <c r="T201" s="162"/>
      <c r="U201" s="162"/>
      <c r="V201" s="162"/>
      <c r="W201" s="162"/>
      <c r="X201" s="163"/>
      <c r="Y201" s="147"/>
      <c r="Z201" s="147"/>
      <c r="AA201" s="147"/>
      <c r="AB201" s="148"/>
      <c r="AC201" s="732"/>
      <c r="AD201" s="732"/>
      <c r="AE201" s="732"/>
      <c r="AF201" s="732"/>
      <c r="AI201" s="109" t="str">
        <f>"22:field232:" &amp; IF(I201="■",1,IF(M201="■",2,0))</f>
        <v>22:field232:0</v>
      </c>
    </row>
    <row r="202" spans="1:36" s="109" customFormat="1" ht="18.75" customHeight="1" x14ac:dyDescent="0.2">
      <c r="A202" s="139"/>
      <c r="B202" s="123"/>
      <c r="C202" s="140"/>
      <c r="D202" s="141"/>
      <c r="E202" s="128"/>
      <c r="F202" s="142"/>
      <c r="G202" s="128"/>
      <c r="H202" s="255" t="s">
        <v>111</v>
      </c>
      <c r="I202" s="156" t="s">
        <v>383</v>
      </c>
      <c r="J202" s="157" t="s">
        <v>250</v>
      </c>
      <c r="K202" s="158"/>
      <c r="L202" s="160" t="s">
        <v>383</v>
      </c>
      <c r="M202" s="157" t="s">
        <v>267</v>
      </c>
      <c r="N202" s="162"/>
      <c r="O202" s="162"/>
      <c r="P202" s="162"/>
      <c r="Q202" s="162"/>
      <c r="R202" s="162"/>
      <c r="S202" s="162"/>
      <c r="T202" s="162"/>
      <c r="U202" s="162"/>
      <c r="V202" s="162"/>
      <c r="W202" s="162"/>
      <c r="X202" s="163"/>
      <c r="Y202" s="147"/>
      <c r="Z202" s="147"/>
      <c r="AA202" s="147"/>
      <c r="AB202" s="148"/>
      <c r="AC202" s="732"/>
      <c r="AD202" s="732"/>
      <c r="AE202" s="732"/>
      <c r="AF202" s="732"/>
      <c r="AI202" s="109" t="str">
        <f>"22:yakinhaiti_code:" &amp; IF(I202="■",1,IF(L202="■",2,0))</f>
        <v>22:yakinhaiti_code:0</v>
      </c>
    </row>
    <row r="203" spans="1:36" s="109" customFormat="1" ht="18.75" customHeight="1" x14ac:dyDescent="0.2">
      <c r="A203" s="139"/>
      <c r="B203" s="123"/>
      <c r="C203" s="140"/>
      <c r="D203" s="141"/>
      <c r="E203" s="128"/>
      <c r="F203" s="142"/>
      <c r="G203" s="128"/>
      <c r="H203" s="255" t="s">
        <v>100</v>
      </c>
      <c r="I203" s="156" t="s">
        <v>383</v>
      </c>
      <c r="J203" s="157" t="s">
        <v>250</v>
      </c>
      <c r="K203" s="158"/>
      <c r="L203" s="160" t="s">
        <v>383</v>
      </c>
      <c r="M203" s="157" t="s">
        <v>267</v>
      </c>
      <c r="N203" s="162"/>
      <c r="O203" s="162"/>
      <c r="P203" s="162"/>
      <c r="Q203" s="162"/>
      <c r="R203" s="162"/>
      <c r="S203" s="162"/>
      <c r="T203" s="162"/>
      <c r="U203" s="162"/>
      <c r="V203" s="162"/>
      <c r="W203" s="162"/>
      <c r="X203" s="163"/>
      <c r="Y203" s="147"/>
      <c r="Z203" s="147"/>
      <c r="AA203" s="147"/>
      <c r="AB203" s="148"/>
      <c r="AC203" s="732"/>
      <c r="AD203" s="732"/>
      <c r="AE203" s="732"/>
      <c r="AF203" s="732"/>
      <c r="AI203" s="109" t="str">
        <f>"22:ninticare_code:" &amp; IF(I203="■",1,IF(L203="■",2,0))</f>
        <v>22:ninticare_code:0</v>
      </c>
    </row>
    <row r="204" spans="1:36" s="109" customFormat="1" ht="18.75" customHeight="1" x14ac:dyDescent="0.2">
      <c r="A204" s="125" t="s">
        <v>383</v>
      </c>
      <c r="B204" s="123">
        <v>22</v>
      </c>
      <c r="C204" s="972" t="s">
        <v>193</v>
      </c>
      <c r="D204" s="118" t="s">
        <v>383</v>
      </c>
      <c r="E204" s="128" t="s">
        <v>316</v>
      </c>
      <c r="F204" s="118" t="s">
        <v>383</v>
      </c>
      <c r="G204" s="128" t="s">
        <v>313</v>
      </c>
      <c r="H204" s="255" t="s">
        <v>110</v>
      </c>
      <c r="I204" s="156" t="s">
        <v>383</v>
      </c>
      <c r="J204" s="157" t="s">
        <v>250</v>
      </c>
      <c r="K204" s="158"/>
      <c r="L204" s="160" t="s">
        <v>383</v>
      </c>
      <c r="M204" s="157" t="s">
        <v>267</v>
      </c>
      <c r="N204" s="162"/>
      <c r="O204" s="162"/>
      <c r="P204" s="162"/>
      <c r="Q204" s="162"/>
      <c r="R204" s="162"/>
      <c r="S204" s="162"/>
      <c r="T204" s="162"/>
      <c r="U204" s="162"/>
      <c r="V204" s="162"/>
      <c r="W204" s="162"/>
      <c r="X204" s="163"/>
      <c r="Y204" s="147"/>
      <c r="Z204" s="147"/>
      <c r="AA204" s="147"/>
      <c r="AB204" s="148"/>
      <c r="AC204" s="732"/>
      <c r="AD204" s="732"/>
      <c r="AE204" s="732"/>
      <c r="AF204" s="732"/>
      <c r="AI204" s="109" t="str">
        <f>"22:jyakuninti_uke_code:" &amp; IF(I204="■",1,IF(L204="■",2,0))</f>
        <v>22:jyakuninti_uke_code:0</v>
      </c>
    </row>
    <row r="205" spans="1:36" s="109" customFormat="1" ht="18.75" customHeight="1" x14ac:dyDescent="0.2">
      <c r="A205" s="139"/>
      <c r="B205" s="123"/>
      <c r="C205" s="140"/>
      <c r="D205" s="141"/>
      <c r="E205" s="128"/>
      <c r="F205" s="118" t="s">
        <v>383</v>
      </c>
      <c r="G205" s="128" t="s">
        <v>314</v>
      </c>
      <c r="H205" s="255" t="s">
        <v>218</v>
      </c>
      <c r="I205" s="156" t="s">
        <v>383</v>
      </c>
      <c r="J205" s="157" t="s">
        <v>250</v>
      </c>
      <c r="K205" s="157"/>
      <c r="L205" s="160" t="s">
        <v>383</v>
      </c>
      <c r="M205" s="157" t="s">
        <v>251</v>
      </c>
      <c r="N205" s="157"/>
      <c r="O205" s="160" t="s">
        <v>383</v>
      </c>
      <c r="P205" s="157" t="s">
        <v>252</v>
      </c>
      <c r="Q205" s="162"/>
      <c r="R205" s="162"/>
      <c r="S205" s="162"/>
      <c r="T205" s="162"/>
      <c r="U205" s="162"/>
      <c r="V205" s="162"/>
      <c r="W205" s="162"/>
      <c r="X205" s="163"/>
      <c r="Y205" s="147"/>
      <c r="Z205" s="147"/>
      <c r="AA205" s="147"/>
      <c r="AB205" s="148"/>
      <c r="AC205" s="732"/>
      <c r="AD205" s="732"/>
      <c r="AE205" s="732"/>
      <c r="AF205" s="732"/>
      <c r="AI205" s="109" t="str">
        <f>"22:zaitaku_hukki_code:" &amp; IF(I205="■",1,IF(L205="■",2,IF(O205="■",3,0)))</f>
        <v>22:zaitaku_hukki_code:0</v>
      </c>
    </row>
    <row r="206" spans="1:36" s="109" customFormat="1" ht="18.75" customHeight="1" x14ac:dyDescent="0.2">
      <c r="A206" s="139"/>
      <c r="B206" s="123"/>
      <c r="C206" s="140"/>
      <c r="D206" s="141"/>
      <c r="E206" s="128"/>
      <c r="F206" s="142"/>
      <c r="G206" s="128"/>
      <c r="H206" s="255" t="s">
        <v>95</v>
      </c>
      <c r="I206" s="156" t="s">
        <v>383</v>
      </c>
      <c r="J206" s="157" t="s">
        <v>265</v>
      </c>
      <c r="K206" s="158"/>
      <c r="L206" s="159"/>
      <c r="M206" s="160" t="s">
        <v>383</v>
      </c>
      <c r="N206" s="157" t="s">
        <v>266</v>
      </c>
      <c r="O206" s="162"/>
      <c r="P206" s="162"/>
      <c r="Q206" s="162"/>
      <c r="R206" s="162"/>
      <c r="S206" s="162"/>
      <c r="T206" s="162"/>
      <c r="U206" s="162"/>
      <c r="V206" s="162"/>
      <c r="W206" s="162"/>
      <c r="X206" s="163"/>
      <c r="Y206" s="147"/>
      <c r="Z206" s="147"/>
      <c r="AA206" s="147"/>
      <c r="AB206" s="148"/>
      <c r="AC206" s="732"/>
      <c r="AD206" s="732"/>
      <c r="AE206" s="732"/>
      <c r="AF206" s="732"/>
      <c r="AI206" s="109" t="str">
        <f>"22:sougei_code:" &amp; IF(I206="■",1,IF(M206="■",2,0))</f>
        <v>22:sougei_code:0</v>
      </c>
    </row>
    <row r="207" spans="1:36" s="109" customFormat="1" ht="19.5" customHeight="1" x14ac:dyDescent="0.2">
      <c r="A207" s="139"/>
      <c r="B207" s="123"/>
      <c r="C207" s="140"/>
      <c r="D207" s="141"/>
      <c r="E207" s="128"/>
      <c r="F207" s="142"/>
      <c r="G207" s="128"/>
      <c r="H207" s="155" t="s">
        <v>433</v>
      </c>
      <c r="I207" s="156" t="s">
        <v>383</v>
      </c>
      <c r="J207" s="157" t="s">
        <v>250</v>
      </c>
      <c r="K207" s="157"/>
      <c r="L207" s="160" t="s">
        <v>383</v>
      </c>
      <c r="M207" s="157" t="s">
        <v>267</v>
      </c>
      <c r="N207" s="157"/>
      <c r="O207" s="162"/>
      <c r="P207" s="157"/>
      <c r="Q207" s="162"/>
      <c r="R207" s="162"/>
      <c r="S207" s="162"/>
      <c r="T207" s="162"/>
      <c r="U207" s="162"/>
      <c r="V207" s="162"/>
      <c r="W207" s="162"/>
      <c r="X207" s="163"/>
      <c r="Y207" s="147"/>
      <c r="Z207" s="147"/>
      <c r="AA207" s="147"/>
      <c r="AB207" s="148"/>
      <c r="AC207" s="732"/>
      <c r="AD207" s="732"/>
      <c r="AE207" s="732"/>
      <c r="AF207" s="732"/>
      <c r="AI207" s="109" t="str">
        <f>"22:field224:" &amp; IF(I207="■",1,IF(L207="■",2,0))</f>
        <v>22:field224:0</v>
      </c>
    </row>
    <row r="208" spans="1:36" s="109" customFormat="1" ht="18.75" customHeight="1" x14ac:dyDescent="0.2">
      <c r="A208" s="139"/>
      <c r="B208" s="123"/>
      <c r="C208" s="140"/>
      <c r="D208" s="141"/>
      <c r="E208" s="128"/>
      <c r="F208" s="142"/>
      <c r="G208" s="128"/>
      <c r="H208" s="255" t="s">
        <v>112</v>
      </c>
      <c r="I208" s="156" t="s">
        <v>383</v>
      </c>
      <c r="J208" s="157" t="s">
        <v>250</v>
      </c>
      <c r="K208" s="158"/>
      <c r="L208" s="160" t="s">
        <v>383</v>
      </c>
      <c r="M208" s="157" t="s">
        <v>267</v>
      </c>
      <c r="N208" s="162"/>
      <c r="O208" s="162"/>
      <c r="P208" s="162"/>
      <c r="Q208" s="162"/>
      <c r="R208" s="162"/>
      <c r="S208" s="162"/>
      <c r="T208" s="162"/>
      <c r="U208" s="162"/>
      <c r="V208" s="162"/>
      <c r="W208" s="162"/>
      <c r="X208" s="163"/>
      <c r="Y208" s="147"/>
      <c r="Z208" s="147"/>
      <c r="AA208" s="147"/>
      <c r="AB208" s="148"/>
      <c r="AC208" s="732"/>
      <c r="AD208" s="732"/>
      <c r="AE208" s="732"/>
      <c r="AF208" s="732"/>
      <c r="AI208" s="109" t="str">
        <f>"22:ryouyoushoku_code:" &amp; IF(I208="■",1,IF(L208="■",2,0))</f>
        <v>22:ryouyoushoku_code:0</v>
      </c>
    </row>
    <row r="209" spans="1:36" s="109" customFormat="1" ht="18.75" customHeight="1" x14ac:dyDescent="0.2">
      <c r="A209" s="139"/>
      <c r="B209" s="123"/>
      <c r="C209" s="140"/>
      <c r="D209" s="141"/>
      <c r="E209" s="128"/>
      <c r="F209" s="142"/>
      <c r="G209" s="128"/>
      <c r="H209" s="255" t="s">
        <v>184</v>
      </c>
      <c r="I209" s="156" t="s">
        <v>383</v>
      </c>
      <c r="J209" s="157" t="s">
        <v>250</v>
      </c>
      <c r="K209" s="157"/>
      <c r="L209" s="160" t="s">
        <v>383</v>
      </c>
      <c r="M209" s="157" t="s">
        <v>251</v>
      </c>
      <c r="N209" s="157"/>
      <c r="O209" s="160" t="s">
        <v>383</v>
      </c>
      <c r="P209" s="157" t="s">
        <v>252</v>
      </c>
      <c r="Q209" s="162"/>
      <c r="R209" s="162"/>
      <c r="S209" s="162"/>
      <c r="T209" s="162"/>
      <c r="U209" s="162"/>
      <c r="V209" s="162"/>
      <c r="W209" s="162"/>
      <c r="X209" s="163"/>
      <c r="Y209" s="147"/>
      <c r="Z209" s="147"/>
      <c r="AA209" s="147"/>
      <c r="AB209" s="148"/>
      <c r="AC209" s="732"/>
      <c r="AD209" s="732"/>
      <c r="AE209" s="732"/>
      <c r="AF209" s="732"/>
      <c r="AI209" s="109" t="str">
        <f>"22:ninti_senmoncare_code:" &amp; IF(I209="■",1,IF(O209="■",3,IF(L209="■",2,0)))</f>
        <v>22:ninti_senmoncare_code:0</v>
      </c>
    </row>
    <row r="210" spans="1:36" s="109" customFormat="1" ht="18.75" customHeight="1" x14ac:dyDescent="0.2">
      <c r="A210" s="139"/>
      <c r="B210" s="123"/>
      <c r="C210" s="140"/>
      <c r="D210" s="141"/>
      <c r="E210" s="128"/>
      <c r="F210" s="142"/>
      <c r="G210" s="128"/>
      <c r="H210" s="250" t="s">
        <v>442</v>
      </c>
      <c r="I210" s="156" t="s">
        <v>383</v>
      </c>
      <c r="J210" s="157" t="s">
        <v>250</v>
      </c>
      <c r="K210" s="157"/>
      <c r="L210" s="160" t="s">
        <v>383</v>
      </c>
      <c r="M210" s="157" t="s">
        <v>251</v>
      </c>
      <c r="N210" s="157"/>
      <c r="O210" s="160" t="s">
        <v>383</v>
      </c>
      <c r="P210" s="157" t="s">
        <v>252</v>
      </c>
      <c r="Q210" s="162"/>
      <c r="R210" s="162"/>
      <c r="S210" s="162"/>
      <c r="T210" s="162"/>
      <c r="U210" s="251"/>
      <c r="V210" s="251"/>
      <c r="W210" s="251"/>
      <c r="X210" s="252"/>
      <c r="Y210" s="147"/>
      <c r="Z210" s="147"/>
      <c r="AA210" s="147"/>
      <c r="AB210" s="148"/>
      <c r="AC210" s="732"/>
      <c r="AD210" s="732"/>
      <c r="AE210" s="732"/>
      <c r="AF210" s="732"/>
      <c r="AI210" s="109" t="str">
        <f>"22:field225:" &amp; IF(I210="■",1,IF(L210="■",2,IF(O210="■",3,0)))</f>
        <v>22:field225:0</v>
      </c>
    </row>
    <row r="211" spans="1:36" s="109" customFormat="1" ht="18.75" customHeight="1" x14ac:dyDescent="0.2">
      <c r="A211" s="139"/>
      <c r="B211" s="123"/>
      <c r="C211" s="140"/>
      <c r="D211" s="141"/>
      <c r="E211" s="128"/>
      <c r="F211" s="142"/>
      <c r="G211" s="128"/>
      <c r="H211" s="256" t="s">
        <v>118</v>
      </c>
      <c r="I211" s="156" t="s">
        <v>383</v>
      </c>
      <c r="J211" s="157" t="s">
        <v>250</v>
      </c>
      <c r="K211" s="157"/>
      <c r="L211" s="160" t="s">
        <v>383</v>
      </c>
      <c r="M211" s="157" t="s">
        <v>258</v>
      </c>
      <c r="N211" s="157"/>
      <c r="O211" s="160" t="s">
        <v>383</v>
      </c>
      <c r="P211" s="157" t="s">
        <v>259</v>
      </c>
      <c r="Q211" s="207"/>
      <c r="R211" s="160" t="s">
        <v>383</v>
      </c>
      <c r="S211" s="157" t="s">
        <v>283</v>
      </c>
      <c r="T211" s="207"/>
      <c r="U211" s="207"/>
      <c r="V211" s="207"/>
      <c r="W211" s="207"/>
      <c r="X211" s="208"/>
      <c r="Y211" s="147"/>
      <c r="Z211" s="147"/>
      <c r="AA211" s="147"/>
      <c r="AB211" s="148"/>
      <c r="AC211" s="732"/>
      <c r="AD211" s="732"/>
      <c r="AE211" s="732"/>
      <c r="AF211" s="732"/>
      <c r="AI211" s="109" t="str">
        <f>"22:serteikyo_kyoka_code:" &amp; IF(I211="■",1,IF(L211="■",6,IF(O211="■",5,IF(R211="■",7,0))))</f>
        <v>22:serteikyo_kyoka_code:0</v>
      </c>
    </row>
    <row r="212" spans="1:36" s="109" customFormat="1" ht="18.75" customHeight="1" x14ac:dyDescent="0.2">
      <c r="A212" s="139"/>
      <c r="B212" s="123"/>
      <c r="C212" s="140"/>
      <c r="D212" s="141"/>
      <c r="E212" s="128"/>
      <c r="F212" s="142"/>
      <c r="G212" s="128"/>
      <c r="H212" s="713" t="s">
        <v>801</v>
      </c>
      <c r="I212" s="725" t="s">
        <v>383</v>
      </c>
      <c r="J212" s="726" t="s">
        <v>250</v>
      </c>
      <c r="K212" s="726"/>
      <c r="L212" s="727" t="s">
        <v>383</v>
      </c>
      <c r="M212" s="726" t="s">
        <v>267</v>
      </c>
      <c r="N212" s="726"/>
      <c r="O212" s="168"/>
      <c r="P212" s="168"/>
      <c r="Q212" s="168"/>
      <c r="R212" s="168"/>
      <c r="S212" s="168"/>
      <c r="T212" s="168"/>
      <c r="U212" s="168"/>
      <c r="V212" s="168"/>
      <c r="W212" s="168"/>
      <c r="X212" s="173"/>
      <c r="Y212" s="147"/>
      <c r="Z212" s="147"/>
      <c r="AA212" s="147"/>
      <c r="AB212" s="148"/>
      <c r="AC212" s="732"/>
      <c r="AD212" s="732"/>
      <c r="AE212" s="732"/>
      <c r="AF212" s="732"/>
      <c r="AI212" s="109" t="str">
        <f>"22:field221:" &amp; IF(I212="■",1,IF(L212="■",2,0))</f>
        <v>22:field221:0</v>
      </c>
    </row>
    <row r="213" spans="1:36" s="109" customFormat="1" ht="18.75" customHeight="1" x14ac:dyDescent="0.2">
      <c r="A213" s="139"/>
      <c r="B213" s="670"/>
      <c r="C213" s="140"/>
      <c r="D213" s="141"/>
      <c r="E213" s="128"/>
      <c r="F213" s="142"/>
      <c r="G213" s="128"/>
      <c r="H213" s="737"/>
      <c r="I213" s="725"/>
      <c r="J213" s="726"/>
      <c r="K213" s="726"/>
      <c r="L213" s="727"/>
      <c r="M213" s="726"/>
      <c r="N213" s="726"/>
      <c r="O213" s="169"/>
      <c r="P213" s="169"/>
      <c r="Q213" s="169"/>
      <c r="R213" s="169"/>
      <c r="S213" s="169"/>
      <c r="T213" s="169"/>
      <c r="U213" s="169"/>
      <c r="V213" s="169"/>
      <c r="W213" s="169"/>
      <c r="X213" s="170"/>
      <c r="Y213" s="147"/>
      <c r="Z213" s="147"/>
      <c r="AA213" s="147"/>
      <c r="AB213" s="148"/>
      <c r="AC213" s="732"/>
      <c r="AD213" s="732"/>
      <c r="AE213" s="732"/>
      <c r="AF213" s="732"/>
    </row>
    <row r="214" spans="1:36" s="621" customFormat="1" ht="18.75" customHeight="1" x14ac:dyDescent="0.2">
      <c r="A214" s="139"/>
      <c r="B214" s="670"/>
      <c r="C214" s="140"/>
      <c r="D214" s="141"/>
      <c r="E214" s="128"/>
      <c r="F214" s="142"/>
      <c r="G214" s="128"/>
      <c r="H214" s="713" t="s">
        <v>790</v>
      </c>
      <c r="I214" s="642" t="s">
        <v>383</v>
      </c>
      <c r="J214" s="616" t="s">
        <v>627</v>
      </c>
      <c r="K214" s="616"/>
      <c r="L214" s="615"/>
      <c r="M214" s="644" t="s">
        <v>383</v>
      </c>
      <c r="N214" s="616" t="s">
        <v>791</v>
      </c>
      <c r="O214" s="617"/>
      <c r="P214" s="615"/>
      <c r="Q214" s="644" t="s">
        <v>383</v>
      </c>
      <c r="R214" s="618" t="s">
        <v>802</v>
      </c>
      <c r="S214" s="615"/>
      <c r="T214" s="615"/>
      <c r="U214" s="615"/>
      <c r="V214" s="618"/>
      <c r="W214" s="619"/>
      <c r="X214" s="620"/>
      <c r="Y214" s="147"/>
      <c r="Z214" s="147"/>
      <c r="AA214" s="147"/>
      <c r="AB214" s="148"/>
      <c r="AC214" s="733"/>
      <c r="AD214" s="733"/>
      <c r="AE214" s="733"/>
      <c r="AF214" s="733"/>
    </row>
    <row r="215" spans="1:36" s="621" customFormat="1" ht="18.75" customHeight="1" x14ac:dyDescent="0.2">
      <c r="A215" s="139"/>
      <c r="B215" s="670"/>
      <c r="C215" s="140"/>
      <c r="D215" s="141"/>
      <c r="E215" s="128"/>
      <c r="F215" s="142"/>
      <c r="G215" s="128"/>
      <c r="H215" s="714"/>
      <c r="I215" s="643" t="s">
        <v>383</v>
      </c>
      <c r="J215" s="623" t="s">
        <v>803</v>
      </c>
      <c r="K215" s="623"/>
      <c r="L215" s="622"/>
      <c r="M215" s="211" t="s">
        <v>383</v>
      </c>
      <c r="N215" s="623" t="s">
        <v>804</v>
      </c>
      <c r="O215" s="624"/>
      <c r="P215" s="622"/>
      <c r="Q215" s="211" t="s">
        <v>383</v>
      </c>
      <c r="R215" s="623" t="s">
        <v>795</v>
      </c>
      <c r="S215" s="622"/>
      <c r="T215" s="623"/>
      <c r="U215" s="211" t="s">
        <v>383</v>
      </c>
      <c r="V215" s="623" t="s">
        <v>796</v>
      </c>
      <c r="W215" s="625"/>
      <c r="X215" s="626"/>
      <c r="Y215" s="147"/>
      <c r="Z215" s="147"/>
      <c r="AA215" s="147"/>
      <c r="AB215" s="148"/>
      <c r="AC215" s="733"/>
      <c r="AD215" s="733"/>
      <c r="AE215" s="733"/>
      <c r="AF215" s="733"/>
    </row>
    <row r="216" spans="1:36" s="109" customFormat="1" ht="18.75" customHeight="1" x14ac:dyDescent="0.2">
      <c r="A216" s="129"/>
      <c r="B216" s="116"/>
      <c r="C216" s="130"/>
      <c r="D216" s="131"/>
      <c r="E216" s="121"/>
      <c r="F216" s="132"/>
      <c r="G216" s="121"/>
      <c r="H216" s="366" t="s">
        <v>97</v>
      </c>
      <c r="I216" s="367" t="s">
        <v>383</v>
      </c>
      <c r="J216" s="368" t="s">
        <v>300</v>
      </c>
      <c r="K216" s="369"/>
      <c r="L216" s="370"/>
      <c r="M216" s="371" t="s">
        <v>383</v>
      </c>
      <c r="N216" s="368" t="s">
        <v>301</v>
      </c>
      <c r="O216" s="372"/>
      <c r="P216" s="372"/>
      <c r="Q216" s="372"/>
      <c r="R216" s="372"/>
      <c r="S216" s="372"/>
      <c r="T216" s="372"/>
      <c r="U216" s="372"/>
      <c r="V216" s="372"/>
      <c r="W216" s="372"/>
      <c r="X216" s="373"/>
      <c r="Y216" s="134" t="s">
        <v>383</v>
      </c>
      <c r="Z216" s="119" t="s">
        <v>249</v>
      </c>
      <c r="AA216" s="119"/>
      <c r="AB216" s="137"/>
      <c r="AC216" s="730"/>
      <c r="AD216" s="730"/>
      <c r="AE216" s="730"/>
      <c r="AF216" s="730"/>
      <c r="AG216" s="109" t="str">
        <f>"ser_code = '" &amp; IF(A227="■",22,"") &amp; "'"</f>
        <v>ser_code = ''</v>
      </c>
      <c r="AI216" s="109" t="str">
        <f>"22:yakan_kinmu_code:" &amp; IF(I216="■",1,IF(M216="■",6,0))</f>
        <v>22:yakan_kinmu_code:0</v>
      </c>
      <c r="AJ216" s="109" t="str">
        <f>"22:field203:" &amp; IF(Y216="■",1,IF(Y217="■",2,0))</f>
        <v>22:field203:0</v>
      </c>
    </row>
    <row r="217" spans="1:36" s="109" customFormat="1" ht="18.75" customHeight="1" x14ac:dyDescent="0.2">
      <c r="A217" s="139"/>
      <c r="B217" s="123"/>
      <c r="C217" s="140"/>
      <c r="D217" s="141"/>
      <c r="E217" s="128"/>
      <c r="F217" s="142"/>
      <c r="G217" s="128"/>
      <c r="H217" s="738" t="s">
        <v>181</v>
      </c>
      <c r="I217" s="374" t="s">
        <v>383</v>
      </c>
      <c r="J217" s="375" t="s">
        <v>250</v>
      </c>
      <c r="K217" s="375"/>
      <c r="L217" s="376"/>
      <c r="M217" s="377" t="s">
        <v>383</v>
      </c>
      <c r="N217" s="375" t="s">
        <v>289</v>
      </c>
      <c r="O217" s="375"/>
      <c r="P217" s="376"/>
      <c r="Q217" s="377" t="s">
        <v>383</v>
      </c>
      <c r="R217" s="378" t="s">
        <v>290</v>
      </c>
      <c r="S217" s="378"/>
      <c r="T217" s="378"/>
      <c r="U217" s="377" t="s">
        <v>383</v>
      </c>
      <c r="V217" s="378" t="s">
        <v>291</v>
      </c>
      <c r="W217" s="378"/>
      <c r="X217" s="379"/>
      <c r="Y217" s="118" t="s">
        <v>383</v>
      </c>
      <c r="Z217" s="126" t="s">
        <v>255</v>
      </c>
      <c r="AA217" s="147"/>
      <c r="AB217" s="148"/>
      <c r="AC217" s="732"/>
      <c r="AD217" s="732"/>
      <c r="AE217" s="732"/>
      <c r="AF217" s="732"/>
      <c r="AG217" s="109" t="str">
        <f>"22:sisetukbn_code:" &amp; IF(D226="■",5,IF(D227="■",7,0))</f>
        <v>22:sisetukbn_code:0</v>
      </c>
      <c r="AI217" s="109" t="str">
        <f>"22:"&amp;IF(AND(I217="□",M217="□",Q217="□",U217="□",I218="□",M218="□",Q218="□"),"ketu_doctor_code:0",IF(I217="■","ketu_doctor_code:1:ketu_kangos_code:1:ketu_kshoku_code:1:ketu_rryoho_code:1:ketu_sryoho_code:1:ketu_gengo_code:1",
IF(M217="■","ketu_doctor_code:2","ketu_doctor_code:1")
&amp;IF(Q217="■",":ketu_kangos_code:2",":ketu_kangos_code:1")
&amp;IF(U217="■",":ketu_kshoku_code:2",":ketu_kshoku_code:1")
&amp;IF(I218="■",":ketu_rryoho_code:2",":ketu_rryoho_code:1")
&amp;IF(M218="■",":ketu_sryoho_code:2",":ketu_sryoho_code:1")
&amp;IF(Q218="■",":ketu_gengo_code:2",":ketu_gengo_code:1")))</f>
        <v>22:ketu_doctor_code:0</v>
      </c>
    </row>
    <row r="218" spans="1:36" s="109" customFormat="1" ht="18.75" customHeight="1" x14ac:dyDescent="0.2">
      <c r="A218" s="139"/>
      <c r="B218" s="123"/>
      <c r="C218" s="140"/>
      <c r="D218" s="141"/>
      <c r="E218" s="128"/>
      <c r="F218" s="142"/>
      <c r="G218" s="128"/>
      <c r="H218" s="739"/>
      <c r="I218" s="380" t="s">
        <v>383</v>
      </c>
      <c r="J218" s="381" t="s">
        <v>292</v>
      </c>
      <c r="K218" s="381"/>
      <c r="L218" s="382"/>
      <c r="M218" s="383" t="s">
        <v>383</v>
      </c>
      <c r="N218" s="381" t="s">
        <v>293</v>
      </c>
      <c r="O218" s="381"/>
      <c r="P218" s="382"/>
      <c r="Q218" s="383" t="s">
        <v>383</v>
      </c>
      <c r="R218" s="384" t="s">
        <v>294</v>
      </c>
      <c r="S218" s="384"/>
      <c r="T218" s="384"/>
      <c r="U218" s="384"/>
      <c r="V218" s="384"/>
      <c r="W218" s="384"/>
      <c r="X218" s="385"/>
      <c r="Y218" s="154"/>
      <c r="Z218" s="147"/>
      <c r="AA218" s="147"/>
      <c r="AB218" s="148"/>
      <c r="AC218" s="732"/>
      <c r="AD218" s="732"/>
      <c r="AE218" s="732"/>
      <c r="AF218" s="732"/>
    </row>
    <row r="219" spans="1:36" s="109" customFormat="1" ht="18.75" customHeight="1" x14ac:dyDescent="0.2">
      <c r="A219" s="139"/>
      <c r="B219" s="123"/>
      <c r="C219" s="140"/>
      <c r="D219" s="141"/>
      <c r="E219" s="128"/>
      <c r="F219" s="142"/>
      <c r="G219" s="128"/>
      <c r="H219" s="364" t="s">
        <v>98</v>
      </c>
      <c r="I219" s="349" t="s">
        <v>383</v>
      </c>
      <c r="J219" s="350" t="s">
        <v>265</v>
      </c>
      <c r="K219" s="351"/>
      <c r="L219" s="352"/>
      <c r="M219" s="353" t="s">
        <v>383</v>
      </c>
      <c r="N219" s="350" t="s">
        <v>266</v>
      </c>
      <c r="O219" s="355"/>
      <c r="P219" s="355"/>
      <c r="Q219" s="355"/>
      <c r="R219" s="355"/>
      <c r="S219" s="355"/>
      <c r="T219" s="355"/>
      <c r="U219" s="355"/>
      <c r="V219" s="355"/>
      <c r="W219" s="355"/>
      <c r="X219" s="356"/>
      <c r="Y219" s="154"/>
      <c r="Z219" s="147"/>
      <c r="AA219" s="147"/>
      <c r="AB219" s="148"/>
      <c r="AC219" s="732"/>
      <c r="AD219" s="732"/>
      <c r="AE219" s="732"/>
      <c r="AF219" s="732"/>
      <c r="AI219" s="109" t="str">
        <f>"22:unitcare_code:" &amp; IF(I219="■",1,IF(M219="■",2,0))</f>
        <v>22:unitcare_code:0</v>
      </c>
    </row>
    <row r="220" spans="1:36" s="109" customFormat="1" ht="18.75" customHeight="1" x14ac:dyDescent="0.2">
      <c r="A220" s="139"/>
      <c r="B220" s="123"/>
      <c r="C220" s="248"/>
      <c r="D220" s="249"/>
      <c r="E220" s="128"/>
      <c r="F220" s="142"/>
      <c r="G220" s="143"/>
      <c r="H220" s="364" t="s">
        <v>107</v>
      </c>
      <c r="I220" s="349" t="s">
        <v>383</v>
      </c>
      <c r="J220" s="350" t="s">
        <v>395</v>
      </c>
      <c r="K220" s="351"/>
      <c r="L220" s="352"/>
      <c r="M220" s="353" t="s">
        <v>383</v>
      </c>
      <c r="N220" s="350" t="s">
        <v>396</v>
      </c>
      <c r="O220" s="351"/>
      <c r="P220" s="351"/>
      <c r="Q220" s="351"/>
      <c r="R220" s="351"/>
      <c r="S220" s="351"/>
      <c r="T220" s="351"/>
      <c r="U220" s="351"/>
      <c r="V220" s="351"/>
      <c r="W220" s="351"/>
      <c r="X220" s="365"/>
      <c r="Y220" s="154"/>
      <c r="Z220" s="147"/>
      <c r="AA220" s="147"/>
      <c r="AB220" s="148"/>
      <c r="AC220" s="732"/>
      <c r="AD220" s="732"/>
      <c r="AE220" s="732"/>
      <c r="AF220" s="732"/>
      <c r="AI220" s="109" t="str">
        <f>"22:sintaikousoku_code:" &amp; IF(I220="■",1,IF(M220="■",2,0))</f>
        <v>22:sintaikousoku_code:0</v>
      </c>
    </row>
    <row r="221" spans="1:36" s="109" customFormat="1" ht="19.5" customHeight="1" x14ac:dyDescent="0.2">
      <c r="A221" s="139"/>
      <c r="B221" s="123"/>
      <c r="C221" s="140"/>
      <c r="D221" s="141"/>
      <c r="E221" s="128"/>
      <c r="F221" s="142"/>
      <c r="G221" s="143"/>
      <c r="H221" s="155" t="s">
        <v>430</v>
      </c>
      <c r="I221" s="156" t="s">
        <v>383</v>
      </c>
      <c r="J221" s="157" t="s">
        <v>395</v>
      </c>
      <c r="K221" s="158"/>
      <c r="L221" s="159"/>
      <c r="M221" s="160" t="s">
        <v>383</v>
      </c>
      <c r="N221" s="157" t="s">
        <v>431</v>
      </c>
      <c r="O221" s="161"/>
      <c r="P221" s="157"/>
      <c r="Q221" s="162"/>
      <c r="R221" s="162"/>
      <c r="S221" s="162"/>
      <c r="T221" s="162"/>
      <c r="U221" s="162"/>
      <c r="V221" s="162"/>
      <c r="W221" s="162"/>
      <c r="X221" s="163"/>
      <c r="Y221" s="147"/>
      <c r="Z221" s="147"/>
      <c r="AA221" s="147"/>
      <c r="AB221" s="148"/>
      <c r="AC221" s="732"/>
      <c r="AD221" s="732"/>
      <c r="AE221" s="732"/>
      <c r="AF221" s="732"/>
      <c r="AI221" s="109" t="str">
        <f>"22:field223:" &amp; IF(I221="■",1,IF(M221="■",2,0))</f>
        <v>22:field223:0</v>
      </c>
    </row>
    <row r="222" spans="1:36" s="109" customFormat="1" ht="19.5" customHeight="1" x14ac:dyDescent="0.2">
      <c r="A222" s="139"/>
      <c r="B222" s="123"/>
      <c r="C222" s="140"/>
      <c r="D222" s="141"/>
      <c r="E222" s="128"/>
      <c r="F222" s="142"/>
      <c r="G222" s="143"/>
      <c r="H222" s="155" t="s">
        <v>448</v>
      </c>
      <c r="I222" s="156" t="s">
        <v>383</v>
      </c>
      <c r="J222" s="157" t="s">
        <v>395</v>
      </c>
      <c r="K222" s="158"/>
      <c r="L222" s="159"/>
      <c r="M222" s="160" t="s">
        <v>383</v>
      </c>
      <c r="N222" s="157" t="s">
        <v>431</v>
      </c>
      <c r="O222" s="161"/>
      <c r="P222" s="157"/>
      <c r="Q222" s="162"/>
      <c r="R222" s="162"/>
      <c r="S222" s="162"/>
      <c r="T222" s="162"/>
      <c r="U222" s="162"/>
      <c r="V222" s="162"/>
      <c r="W222" s="162"/>
      <c r="X222" s="163"/>
      <c r="Y222" s="147"/>
      <c r="Z222" s="147"/>
      <c r="AA222" s="147"/>
      <c r="AB222" s="148"/>
      <c r="AC222" s="732"/>
      <c r="AD222" s="732"/>
      <c r="AE222" s="732"/>
      <c r="AF222" s="732"/>
      <c r="AI222" s="109" t="str">
        <f>"22:field232:" &amp; IF(I222="■",1,IF(M222="■",2,0))</f>
        <v>22:field232:0</v>
      </c>
    </row>
    <row r="223" spans="1:36" s="1" customFormat="1" ht="19.5" customHeight="1" x14ac:dyDescent="0.2">
      <c r="A223" s="88"/>
      <c r="B223" s="91"/>
      <c r="C223" s="87"/>
      <c r="D223" s="89"/>
      <c r="E223" s="90"/>
      <c r="F223" s="101"/>
      <c r="G223" s="100"/>
      <c r="H223" s="348" t="s">
        <v>638</v>
      </c>
      <c r="I223" s="406" t="s">
        <v>383</v>
      </c>
      <c r="J223" s="381" t="s">
        <v>624</v>
      </c>
      <c r="K223" s="472"/>
      <c r="L223" s="382"/>
      <c r="M223" s="408" t="s">
        <v>383</v>
      </c>
      <c r="N223" s="381" t="s">
        <v>625</v>
      </c>
      <c r="O223" s="473"/>
      <c r="P223" s="381"/>
      <c r="Q223" s="474"/>
      <c r="R223" s="474"/>
      <c r="S223" s="474"/>
      <c r="T223" s="474"/>
      <c r="U223" s="474"/>
      <c r="V223" s="474"/>
      <c r="W223" s="474"/>
      <c r="X223" s="475"/>
      <c r="Y223" s="85"/>
      <c r="Z223" s="2"/>
      <c r="AA223" s="92"/>
      <c r="AB223" s="102"/>
      <c r="AC223" s="732"/>
      <c r="AD223" s="732"/>
      <c r="AE223" s="732"/>
      <c r="AF223" s="732"/>
      <c r="AI223" s="109" t="str">
        <f>"22:field242:" &amp; IF(I223="■",1,IF(M223="■",2,0))</f>
        <v>22:field242:0</v>
      </c>
    </row>
    <row r="224" spans="1:36" s="109" customFormat="1" ht="18.75" customHeight="1" x14ac:dyDescent="0.2">
      <c r="A224" s="139"/>
      <c r="B224" s="123"/>
      <c r="C224" s="140"/>
      <c r="D224" s="141"/>
      <c r="E224" s="128"/>
      <c r="F224" s="142"/>
      <c r="G224" s="128"/>
      <c r="H224" s="242" t="s">
        <v>111</v>
      </c>
      <c r="I224" s="156" t="s">
        <v>383</v>
      </c>
      <c r="J224" s="157" t="s">
        <v>250</v>
      </c>
      <c r="K224" s="158"/>
      <c r="L224" s="160" t="s">
        <v>383</v>
      </c>
      <c r="M224" s="157" t="s">
        <v>267</v>
      </c>
      <c r="N224" s="162"/>
      <c r="O224" s="162"/>
      <c r="P224" s="162"/>
      <c r="Q224" s="162"/>
      <c r="R224" s="162"/>
      <c r="S224" s="162"/>
      <c r="T224" s="162"/>
      <c r="U224" s="162"/>
      <c r="V224" s="162"/>
      <c r="W224" s="162"/>
      <c r="X224" s="163"/>
      <c r="Y224" s="154"/>
      <c r="Z224" s="147"/>
      <c r="AA224" s="147"/>
      <c r="AB224" s="148"/>
      <c r="AC224" s="732"/>
      <c r="AD224" s="732"/>
      <c r="AE224" s="732"/>
      <c r="AF224" s="732"/>
      <c r="AI224" s="109" t="str">
        <f>"22:yakinhaiti_code:" &amp; IF(I224="■",1,IF(L224="■",2,0))</f>
        <v>22:yakinhaiti_code:0</v>
      </c>
    </row>
    <row r="225" spans="1:35" s="109" customFormat="1" ht="18.75" customHeight="1" x14ac:dyDescent="0.2">
      <c r="A225" s="139"/>
      <c r="B225" s="123"/>
      <c r="C225" s="140"/>
      <c r="D225" s="141"/>
      <c r="E225" s="128"/>
      <c r="F225" s="142"/>
      <c r="G225" s="128"/>
      <c r="H225" s="242" t="s">
        <v>113</v>
      </c>
      <c r="I225" s="156" t="s">
        <v>383</v>
      </c>
      <c r="J225" s="157" t="s">
        <v>317</v>
      </c>
      <c r="K225" s="157"/>
      <c r="L225" s="159"/>
      <c r="M225" s="159"/>
      <c r="N225" s="160" t="s">
        <v>383</v>
      </c>
      <c r="O225" s="157" t="s">
        <v>318</v>
      </c>
      <c r="P225" s="162"/>
      <c r="Q225" s="162"/>
      <c r="R225" s="162"/>
      <c r="S225" s="160" t="s">
        <v>383</v>
      </c>
      <c r="T225" s="157" t="s">
        <v>319</v>
      </c>
      <c r="U225" s="162"/>
      <c r="V225" s="162"/>
      <c r="W225" s="162"/>
      <c r="X225" s="163"/>
      <c r="Y225" s="154"/>
      <c r="Z225" s="147"/>
      <c r="AA225" s="147"/>
      <c r="AB225" s="148"/>
      <c r="AC225" s="732"/>
      <c r="AD225" s="732"/>
      <c r="AE225" s="732"/>
      <c r="AF225" s="732"/>
      <c r="AI225" s="109" t="str">
        <f>"22:"&amp;IF(AND(I225="□",N225="□",S225="□"),"koriha_gengo_code:0:riha_seisin_code:0:koriha_other_code:0",IF(I225="■","koriha_gengo_code:2","koriha_gengo_code:1")
&amp;IF(N225="■",":riha_seisin_code:2",":riha_seisin_code:1")
&amp;IF(S225="■",":koriha_other_code:2",":koriha_other_code:1"))</f>
        <v>22:koriha_gengo_code:0:riha_seisin_code:0:koriha_other_code:0</v>
      </c>
    </row>
    <row r="226" spans="1:35" s="109" customFormat="1" ht="18.75" customHeight="1" x14ac:dyDescent="0.2">
      <c r="A226" s="139"/>
      <c r="B226" s="123"/>
      <c r="C226" s="140"/>
      <c r="D226" s="118" t="s">
        <v>383</v>
      </c>
      <c r="E226" s="128" t="s">
        <v>322</v>
      </c>
      <c r="F226" s="142"/>
      <c r="G226" s="128"/>
      <c r="H226" s="242" t="s">
        <v>100</v>
      </c>
      <c r="I226" s="156" t="s">
        <v>383</v>
      </c>
      <c r="J226" s="157" t="s">
        <v>250</v>
      </c>
      <c r="K226" s="158"/>
      <c r="L226" s="160" t="s">
        <v>383</v>
      </c>
      <c r="M226" s="157" t="s">
        <v>267</v>
      </c>
      <c r="N226" s="162"/>
      <c r="O226" s="162"/>
      <c r="P226" s="162"/>
      <c r="Q226" s="162"/>
      <c r="R226" s="162"/>
      <c r="S226" s="162"/>
      <c r="T226" s="162"/>
      <c r="U226" s="162"/>
      <c r="V226" s="162"/>
      <c r="W226" s="162"/>
      <c r="X226" s="163"/>
      <c r="Y226" s="154"/>
      <c r="Z226" s="147"/>
      <c r="AA226" s="147"/>
      <c r="AB226" s="148"/>
      <c r="AC226" s="732"/>
      <c r="AD226" s="732"/>
      <c r="AE226" s="732"/>
      <c r="AF226" s="732"/>
      <c r="AI226" s="109" t="str">
        <f>"22:ninticare_code:" &amp; IF(I226="■",1,IF(L226="■",2,0))</f>
        <v>22:ninticare_code:0</v>
      </c>
    </row>
    <row r="227" spans="1:35" s="109" customFormat="1" ht="18.75" customHeight="1" x14ac:dyDescent="0.2">
      <c r="A227" s="125" t="s">
        <v>383</v>
      </c>
      <c r="B227" s="123">
        <v>22</v>
      </c>
      <c r="C227" s="140" t="s">
        <v>193</v>
      </c>
      <c r="D227" s="118" t="s">
        <v>383</v>
      </c>
      <c r="E227" s="128" t="s">
        <v>324</v>
      </c>
      <c r="F227" s="142"/>
      <c r="G227" s="128"/>
      <c r="H227" s="242" t="s">
        <v>110</v>
      </c>
      <c r="I227" s="156" t="s">
        <v>383</v>
      </c>
      <c r="J227" s="157" t="s">
        <v>250</v>
      </c>
      <c r="K227" s="158"/>
      <c r="L227" s="160" t="s">
        <v>383</v>
      </c>
      <c r="M227" s="157" t="s">
        <v>267</v>
      </c>
      <c r="N227" s="162"/>
      <c r="O227" s="162"/>
      <c r="P227" s="162"/>
      <c r="Q227" s="162"/>
      <c r="R227" s="162"/>
      <c r="S227" s="162"/>
      <c r="T227" s="162"/>
      <c r="U227" s="162"/>
      <c r="V227" s="162"/>
      <c r="W227" s="162"/>
      <c r="X227" s="163"/>
      <c r="Y227" s="154"/>
      <c r="Z227" s="147"/>
      <c r="AA227" s="147"/>
      <c r="AB227" s="148"/>
      <c r="AC227" s="732"/>
      <c r="AD227" s="732"/>
      <c r="AE227" s="732"/>
      <c r="AF227" s="732"/>
      <c r="AI227" s="109" t="str">
        <f>"22:jyakuninti_uke_code:" &amp; IF(I227="■",1,IF(L227="■",2,0))</f>
        <v>22:jyakuninti_uke_code:0</v>
      </c>
    </row>
    <row r="228" spans="1:35" s="109" customFormat="1" ht="18.75" customHeight="1" x14ac:dyDescent="0.2">
      <c r="A228" s="139"/>
      <c r="B228" s="123"/>
      <c r="C228" s="140"/>
      <c r="D228" s="141"/>
      <c r="E228" s="128"/>
      <c r="F228" s="142"/>
      <c r="G228" s="128"/>
      <c r="H228" s="242" t="s">
        <v>95</v>
      </c>
      <c r="I228" s="156" t="s">
        <v>383</v>
      </c>
      <c r="J228" s="157" t="s">
        <v>265</v>
      </c>
      <c r="K228" s="158"/>
      <c r="L228" s="159"/>
      <c r="M228" s="160" t="s">
        <v>383</v>
      </c>
      <c r="N228" s="157" t="s">
        <v>266</v>
      </c>
      <c r="O228" s="162"/>
      <c r="P228" s="162"/>
      <c r="Q228" s="162"/>
      <c r="R228" s="162"/>
      <c r="S228" s="162"/>
      <c r="T228" s="162"/>
      <c r="U228" s="162"/>
      <c r="V228" s="162"/>
      <c r="W228" s="162"/>
      <c r="X228" s="163"/>
      <c r="Y228" s="154"/>
      <c r="Z228" s="147"/>
      <c r="AA228" s="147"/>
      <c r="AB228" s="148"/>
      <c r="AC228" s="732"/>
      <c r="AD228" s="732"/>
      <c r="AE228" s="732"/>
      <c r="AF228" s="732"/>
      <c r="AI228" s="109" t="str">
        <f>"22:sougei_code:" &amp; IF(I228="■",1,IF(M228="■",2,0))</f>
        <v>22:sougei_code:0</v>
      </c>
    </row>
    <row r="229" spans="1:35" s="109" customFormat="1" ht="18.75" customHeight="1" x14ac:dyDescent="0.2">
      <c r="A229" s="139"/>
      <c r="B229" s="123"/>
      <c r="C229" s="140"/>
      <c r="D229" s="141"/>
      <c r="E229" s="128"/>
      <c r="F229" s="142"/>
      <c r="G229" s="128"/>
      <c r="H229" s="242" t="s">
        <v>114</v>
      </c>
      <c r="I229" s="156" t="s">
        <v>383</v>
      </c>
      <c r="J229" s="157" t="s">
        <v>320</v>
      </c>
      <c r="K229" s="162"/>
      <c r="L229" s="162"/>
      <c r="M229" s="162"/>
      <c r="N229" s="162"/>
      <c r="O229" s="162"/>
      <c r="P229" s="160" t="s">
        <v>383</v>
      </c>
      <c r="Q229" s="157" t="s">
        <v>321</v>
      </c>
      <c r="R229" s="162"/>
      <c r="S229" s="207"/>
      <c r="T229" s="162"/>
      <c r="U229" s="162"/>
      <c r="V229" s="162"/>
      <c r="W229" s="162"/>
      <c r="X229" s="163"/>
      <c r="Y229" s="154"/>
      <c r="Z229" s="147"/>
      <c r="AA229" s="147"/>
      <c r="AB229" s="148"/>
      <c r="AC229" s="732"/>
      <c r="AD229" s="732"/>
      <c r="AE229" s="732"/>
      <c r="AF229" s="732"/>
      <c r="AI229" s="109" t="str">
        <f>"22:" &amp; IF(AND(I229="□",P229="□"),"tokusin_jyusho_code:0:tokusin_yakuzai_code:0",IF(I229="■","tokusin_jyusho_code:2","tokusin_jyusho_code:1")
&amp;IF(P229="■",":tokusin_yakuzai_code:2",":tokusin_yakuzai_code:1"))</f>
        <v>22:tokusin_jyusho_code:0:tokusin_yakuzai_code:0</v>
      </c>
    </row>
    <row r="230" spans="1:35" s="109" customFormat="1" ht="18.75" customHeight="1" x14ac:dyDescent="0.2">
      <c r="A230" s="139"/>
      <c r="B230" s="123"/>
      <c r="C230" s="140"/>
      <c r="D230" s="141"/>
      <c r="E230" s="128"/>
      <c r="F230" s="142"/>
      <c r="G230" s="128"/>
      <c r="H230" s="242" t="s">
        <v>174</v>
      </c>
      <c r="I230" s="156" t="s">
        <v>383</v>
      </c>
      <c r="J230" s="157" t="s">
        <v>250</v>
      </c>
      <c r="K230" s="158"/>
      <c r="L230" s="160" t="s">
        <v>383</v>
      </c>
      <c r="M230" s="157" t="s">
        <v>267</v>
      </c>
      <c r="N230" s="207"/>
      <c r="O230" s="207"/>
      <c r="P230" s="207"/>
      <c r="Q230" s="207"/>
      <c r="R230" s="207"/>
      <c r="S230" s="207"/>
      <c r="T230" s="207"/>
      <c r="U230" s="207"/>
      <c r="V230" s="207"/>
      <c r="W230" s="207"/>
      <c r="X230" s="208"/>
      <c r="Y230" s="154"/>
      <c r="Z230" s="147"/>
      <c r="AA230" s="147"/>
      <c r="AB230" s="148"/>
      <c r="AC230" s="732"/>
      <c r="AD230" s="732"/>
      <c r="AE230" s="732"/>
      <c r="AF230" s="732"/>
      <c r="AI230" s="109" t="str">
        <f>"22:field198:" &amp; IF(I230="■",1,IF(L230="■",2,0))</f>
        <v>22:field198:0</v>
      </c>
    </row>
    <row r="231" spans="1:35" s="109" customFormat="1" ht="18.75" customHeight="1" x14ac:dyDescent="0.2">
      <c r="A231" s="139"/>
      <c r="B231" s="123"/>
      <c r="C231" s="140"/>
      <c r="D231" s="141"/>
      <c r="E231" s="128"/>
      <c r="F231" s="142"/>
      <c r="G231" s="128"/>
      <c r="H231" s="242" t="s">
        <v>175</v>
      </c>
      <c r="I231" s="156" t="s">
        <v>383</v>
      </c>
      <c r="J231" s="157" t="s">
        <v>250</v>
      </c>
      <c r="K231" s="158"/>
      <c r="L231" s="160" t="s">
        <v>383</v>
      </c>
      <c r="M231" s="157" t="s">
        <v>267</v>
      </c>
      <c r="N231" s="207"/>
      <c r="O231" s="207"/>
      <c r="P231" s="207"/>
      <c r="Q231" s="207"/>
      <c r="R231" s="207"/>
      <c r="S231" s="207"/>
      <c r="T231" s="207"/>
      <c r="U231" s="207"/>
      <c r="V231" s="207"/>
      <c r="W231" s="207"/>
      <c r="X231" s="208"/>
      <c r="Y231" s="154"/>
      <c r="Z231" s="147"/>
      <c r="AA231" s="147"/>
      <c r="AB231" s="148"/>
      <c r="AC231" s="732"/>
      <c r="AD231" s="732"/>
      <c r="AE231" s="732"/>
      <c r="AF231" s="732"/>
      <c r="AI231" s="109" t="str">
        <f>"22:field199:" &amp; IF(I231="■",1,IF(L231="■",2,0))</f>
        <v>22:field199:0</v>
      </c>
    </row>
    <row r="232" spans="1:35" s="109" customFormat="1" ht="19.5" customHeight="1" x14ac:dyDescent="0.2">
      <c r="A232" s="139"/>
      <c r="B232" s="123"/>
      <c r="C232" s="140"/>
      <c r="D232" s="141"/>
      <c r="E232" s="128"/>
      <c r="F232" s="142"/>
      <c r="G232" s="143"/>
      <c r="H232" s="155" t="s">
        <v>433</v>
      </c>
      <c r="I232" s="156" t="s">
        <v>383</v>
      </c>
      <c r="J232" s="157" t="s">
        <v>250</v>
      </c>
      <c r="K232" s="157"/>
      <c r="L232" s="160" t="s">
        <v>383</v>
      </c>
      <c r="M232" s="157" t="s">
        <v>267</v>
      </c>
      <c r="N232" s="157"/>
      <c r="O232" s="162"/>
      <c r="P232" s="157"/>
      <c r="Q232" s="162"/>
      <c r="R232" s="162"/>
      <c r="S232" s="162"/>
      <c r="T232" s="162"/>
      <c r="U232" s="162"/>
      <c r="V232" s="162"/>
      <c r="W232" s="162"/>
      <c r="X232" s="163"/>
      <c r="Y232" s="147"/>
      <c r="Z232" s="147"/>
      <c r="AA232" s="147"/>
      <c r="AB232" s="148"/>
      <c r="AC232" s="732"/>
      <c r="AD232" s="732"/>
      <c r="AE232" s="732"/>
      <c r="AF232" s="732"/>
      <c r="AI232" s="109" t="str">
        <f>"22:field224:" &amp; IF(I232="■",1,IF(L232="■",2,0))</f>
        <v>22:field224:0</v>
      </c>
    </row>
    <row r="233" spans="1:35" s="109" customFormat="1" ht="18.75" customHeight="1" x14ac:dyDescent="0.2">
      <c r="A233" s="139"/>
      <c r="B233" s="123"/>
      <c r="C233" s="140"/>
      <c r="D233" s="141"/>
      <c r="E233" s="128"/>
      <c r="F233" s="142"/>
      <c r="G233" s="128"/>
      <c r="H233" s="242" t="s">
        <v>112</v>
      </c>
      <c r="I233" s="156" t="s">
        <v>383</v>
      </c>
      <c r="J233" s="157" t="s">
        <v>250</v>
      </c>
      <c r="K233" s="158"/>
      <c r="L233" s="160" t="s">
        <v>383</v>
      </c>
      <c r="M233" s="157" t="s">
        <v>267</v>
      </c>
      <c r="N233" s="162"/>
      <c r="O233" s="162"/>
      <c r="P233" s="162"/>
      <c r="Q233" s="162"/>
      <c r="R233" s="162"/>
      <c r="S233" s="162"/>
      <c r="T233" s="162"/>
      <c r="U233" s="162"/>
      <c r="V233" s="162"/>
      <c r="W233" s="162"/>
      <c r="X233" s="163"/>
      <c r="Y233" s="154"/>
      <c r="Z233" s="147"/>
      <c r="AA233" s="147"/>
      <c r="AB233" s="148"/>
      <c r="AC233" s="732"/>
      <c r="AD233" s="732"/>
      <c r="AE233" s="732"/>
      <c r="AF233" s="732"/>
      <c r="AI233" s="109" t="str">
        <f>"22:ryouyoushoku_code:" &amp; IF(I233="■",1,IF(L233="■",2,0))</f>
        <v>22:ryouyoushoku_code:0</v>
      </c>
    </row>
    <row r="234" spans="1:35" s="109" customFormat="1" ht="18.75" customHeight="1" x14ac:dyDescent="0.2">
      <c r="A234" s="139"/>
      <c r="B234" s="123"/>
      <c r="C234" s="140"/>
      <c r="D234" s="141"/>
      <c r="E234" s="128"/>
      <c r="F234" s="142"/>
      <c r="G234" s="128"/>
      <c r="H234" s="242" t="s">
        <v>184</v>
      </c>
      <c r="I234" s="156" t="s">
        <v>383</v>
      </c>
      <c r="J234" s="157" t="s">
        <v>250</v>
      </c>
      <c r="K234" s="157"/>
      <c r="L234" s="160" t="s">
        <v>383</v>
      </c>
      <c r="M234" s="157" t="s">
        <v>251</v>
      </c>
      <c r="N234" s="157"/>
      <c r="O234" s="160" t="s">
        <v>383</v>
      </c>
      <c r="P234" s="157" t="s">
        <v>252</v>
      </c>
      <c r="Q234" s="162"/>
      <c r="R234" s="162"/>
      <c r="S234" s="162"/>
      <c r="T234" s="162"/>
      <c r="U234" s="162"/>
      <c r="V234" s="162"/>
      <c r="W234" s="162"/>
      <c r="X234" s="163"/>
      <c r="Y234" s="154"/>
      <c r="Z234" s="147"/>
      <c r="AA234" s="147"/>
      <c r="AB234" s="148"/>
      <c r="AC234" s="732"/>
      <c r="AD234" s="732"/>
      <c r="AE234" s="732"/>
      <c r="AF234" s="732"/>
      <c r="AI234" s="109" t="str">
        <f>"22:ninti_senmoncare_code:" &amp; IF(I234="■",1,IF(O234="■",3,IF(L234="■",2,0)))</f>
        <v>22:ninti_senmoncare_code:0</v>
      </c>
    </row>
    <row r="235" spans="1:35" s="109" customFormat="1" ht="18.75" customHeight="1" x14ac:dyDescent="0.2">
      <c r="A235" s="139"/>
      <c r="B235" s="123"/>
      <c r="C235" s="140"/>
      <c r="D235" s="141"/>
      <c r="E235" s="128"/>
      <c r="F235" s="142"/>
      <c r="G235" s="128"/>
      <c r="H235" s="250" t="s">
        <v>442</v>
      </c>
      <c r="I235" s="156" t="s">
        <v>383</v>
      </c>
      <c r="J235" s="157" t="s">
        <v>250</v>
      </c>
      <c r="K235" s="157"/>
      <c r="L235" s="160" t="s">
        <v>383</v>
      </c>
      <c r="M235" s="157" t="s">
        <v>251</v>
      </c>
      <c r="N235" s="157"/>
      <c r="O235" s="160" t="s">
        <v>383</v>
      </c>
      <c r="P235" s="157" t="s">
        <v>252</v>
      </c>
      <c r="Q235" s="162"/>
      <c r="R235" s="162"/>
      <c r="S235" s="162"/>
      <c r="T235" s="162"/>
      <c r="U235" s="251"/>
      <c r="V235" s="251"/>
      <c r="W235" s="251"/>
      <c r="X235" s="252"/>
      <c r="Y235" s="154"/>
      <c r="Z235" s="147"/>
      <c r="AA235" s="147"/>
      <c r="AB235" s="148"/>
      <c r="AC235" s="732"/>
      <c r="AD235" s="732"/>
      <c r="AE235" s="732"/>
      <c r="AF235" s="732"/>
      <c r="AI235" s="109" t="str">
        <f>"22:field225:" &amp; IF(I235="■",1,IF(L235="■",2,IF(O235="■",3,0)))</f>
        <v>22:field225:0</v>
      </c>
    </row>
    <row r="236" spans="1:35" s="109" customFormat="1" ht="18.75" customHeight="1" x14ac:dyDescent="0.2">
      <c r="A236" s="139"/>
      <c r="B236" s="123"/>
      <c r="C236" s="140"/>
      <c r="D236" s="141"/>
      <c r="E236" s="128"/>
      <c r="F236" s="142"/>
      <c r="G236" s="128"/>
      <c r="H236" s="239" t="s">
        <v>118</v>
      </c>
      <c r="I236" s="156" t="s">
        <v>383</v>
      </c>
      <c r="J236" s="157" t="s">
        <v>250</v>
      </c>
      <c r="K236" s="157"/>
      <c r="L236" s="160" t="s">
        <v>383</v>
      </c>
      <c r="M236" s="157" t="s">
        <v>258</v>
      </c>
      <c r="N236" s="157"/>
      <c r="O236" s="160" t="s">
        <v>383</v>
      </c>
      <c r="P236" s="157" t="s">
        <v>259</v>
      </c>
      <c r="Q236" s="207"/>
      <c r="R236" s="160" t="s">
        <v>383</v>
      </c>
      <c r="S236" s="157" t="s">
        <v>283</v>
      </c>
      <c r="T236" s="207"/>
      <c r="U236" s="207"/>
      <c r="V236" s="207"/>
      <c r="W236" s="207"/>
      <c r="X236" s="208"/>
      <c r="Y236" s="154"/>
      <c r="Z236" s="147"/>
      <c r="AA236" s="147"/>
      <c r="AB236" s="148"/>
      <c r="AC236" s="732"/>
      <c r="AD236" s="732"/>
      <c r="AE236" s="732"/>
      <c r="AF236" s="732"/>
      <c r="AI236" s="109" t="str">
        <f>"22:serteikyo_kyoka_code:" &amp; IF(I236="■",1,IF(L236="■",6,IF(O236="■",5,IF(R236="■",7,0))))</f>
        <v>22:serteikyo_kyoka_code:0</v>
      </c>
    </row>
    <row r="237" spans="1:35" s="109" customFormat="1" ht="18.75" customHeight="1" x14ac:dyDescent="0.2">
      <c r="A237" s="139"/>
      <c r="B237" s="123"/>
      <c r="C237" s="140"/>
      <c r="D237" s="141"/>
      <c r="E237" s="128"/>
      <c r="F237" s="142"/>
      <c r="G237" s="128"/>
      <c r="H237" s="713" t="s">
        <v>801</v>
      </c>
      <c r="I237" s="725" t="s">
        <v>383</v>
      </c>
      <c r="J237" s="726" t="s">
        <v>250</v>
      </c>
      <c r="K237" s="726"/>
      <c r="L237" s="727" t="s">
        <v>383</v>
      </c>
      <c r="M237" s="726" t="s">
        <v>267</v>
      </c>
      <c r="N237" s="726"/>
      <c r="O237" s="168"/>
      <c r="P237" s="168"/>
      <c r="Q237" s="168"/>
      <c r="R237" s="168"/>
      <c r="S237" s="168"/>
      <c r="T237" s="168"/>
      <c r="U237" s="168"/>
      <c r="V237" s="168"/>
      <c r="W237" s="168"/>
      <c r="X237" s="173"/>
      <c r="Y237" s="154"/>
      <c r="Z237" s="147"/>
      <c r="AA237" s="147"/>
      <c r="AB237" s="148"/>
      <c r="AC237" s="732"/>
      <c r="AD237" s="732"/>
      <c r="AE237" s="732"/>
      <c r="AF237" s="732"/>
      <c r="AI237" s="109" t="str">
        <f>"22:field221:" &amp; IF(I237="■",1,IF(L237="■",2,0))</f>
        <v>22:field221:0</v>
      </c>
    </row>
    <row r="238" spans="1:35" s="109" customFormat="1" ht="18.75" customHeight="1" x14ac:dyDescent="0.2">
      <c r="A238" s="139"/>
      <c r="B238" s="670"/>
      <c r="C238" s="140"/>
      <c r="D238" s="141"/>
      <c r="E238" s="128"/>
      <c r="F238" s="142"/>
      <c r="G238" s="128"/>
      <c r="H238" s="737"/>
      <c r="I238" s="725"/>
      <c r="J238" s="726"/>
      <c r="K238" s="726"/>
      <c r="L238" s="727"/>
      <c r="M238" s="726"/>
      <c r="N238" s="726"/>
      <c r="O238" s="169"/>
      <c r="P238" s="169"/>
      <c r="Q238" s="169"/>
      <c r="R238" s="169"/>
      <c r="S238" s="169"/>
      <c r="T238" s="169"/>
      <c r="U238" s="169"/>
      <c r="V238" s="169"/>
      <c r="W238" s="169"/>
      <c r="X238" s="170"/>
      <c r="Y238" s="154"/>
      <c r="Z238" s="147"/>
      <c r="AA238" s="147"/>
      <c r="AB238" s="148"/>
      <c r="AC238" s="732"/>
      <c r="AD238" s="732"/>
      <c r="AE238" s="732"/>
      <c r="AF238" s="732"/>
    </row>
    <row r="239" spans="1:35" s="621" customFormat="1" ht="18.75" customHeight="1" x14ac:dyDescent="0.2">
      <c r="A239" s="139"/>
      <c r="B239" s="670"/>
      <c r="C239" s="140"/>
      <c r="D239" s="141"/>
      <c r="E239" s="128"/>
      <c r="F239" s="142"/>
      <c r="G239" s="128"/>
      <c r="H239" s="713" t="s">
        <v>790</v>
      </c>
      <c r="I239" s="642" t="s">
        <v>383</v>
      </c>
      <c r="J239" s="616" t="s">
        <v>627</v>
      </c>
      <c r="K239" s="616"/>
      <c r="L239" s="615"/>
      <c r="M239" s="644" t="s">
        <v>383</v>
      </c>
      <c r="N239" s="616" t="s">
        <v>791</v>
      </c>
      <c r="O239" s="617"/>
      <c r="P239" s="615"/>
      <c r="Q239" s="644" t="s">
        <v>383</v>
      </c>
      <c r="R239" s="618" t="s">
        <v>802</v>
      </c>
      <c r="S239" s="615"/>
      <c r="T239" s="615"/>
      <c r="U239" s="615"/>
      <c r="V239" s="618"/>
      <c r="W239" s="619"/>
      <c r="X239" s="620"/>
      <c r="Y239" s="154"/>
      <c r="Z239" s="147"/>
      <c r="AA239" s="147"/>
      <c r="AB239" s="148"/>
      <c r="AC239" s="733"/>
      <c r="AD239" s="733"/>
      <c r="AE239" s="733"/>
      <c r="AF239" s="733"/>
    </row>
    <row r="240" spans="1:35" s="621" customFormat="1" ht="18.75" customHeight="1" x14ac:dyDescent="0.2">
      <c r="A240" s="139"/>
      <c r="B240" s="670"/>
      <c r="C240" s="140"/>
      <c r="D240" s="141"/>
      <c r="E240" s="128"/>
      <c r="F240" s="142"/>
      <c r="G240" s="128"/>
      <c r="H240" s="714"/>
      <c r="I240" s="643" t="s">
        <v>383</v>
      </c>
      <c r="J240" s="623" t="s">
        <v>803</v>
      </c>
      <c r="K240" s="623"/>
      <c r="L240" s="622"/>
      <c r="M240" s="211" t="s">
        <v>383</v>
      </c>
      <c r="N240" s="623" t="s">
        <v>804</v>
      </c>
      <c r="O240" s="624"/>
      <c r="P240" s="622"/>
      <c r="Q240" s="211" t="s">
        <v>383</v>
      </c>
      <c r="R240" s="623" t="s">
        <v>795</v>
      </c>
      <c r="S240" s="622"/>
      <c r="T240" s="623"/>
      <c r="U240" s="211" t="s">
        <v>383</v>
      </c>
      <c r="V240" s="623" t="s">
        <v>796</v>
      </c>
      <c r="W240" s="625"/>
      <c r="X240" s="626"/>
      <c r="Y240" s="154"/>
      <c r="Z240" s="147"/>
      <c r="AA240" s="147"/>
      <c r="AB240" s="148"/>
      <c r="AC240" s="733"/>
      <c r="AD240" s="733"/>
      <c r="AE240" s="733"/>
      <c r="AF240" s="733"/>
    </row>
    <row r="241" spans="1:36" s="109" customFormat="1" ht="18.75" customHeight="1" x14ac:dyDescent="0.2">
      <c r="A241" s="129"/>
      <c r="B241" s="116"/>
      <c r="C241" s="130"/>
      <c r="D241" s="131"/>
      <c r="E241" s="121"/>
      <c r="F241" s="132"/>
      <c r="G241" s="121"/>
      <c r="H241" s="366" t="s">
        <v>97</v>
      </c>
      <c r="I241" s="367" t="s">
        <v>383</v>
      </c>
      <c r="J241" s="368" t="s">
        <v>300</v>
      </c>
      <c r="K241" s="369"/>
      <c r="L241" s="370"/>
      <c r="M241" s="371" t="s">
        <v>383</v>
      </c>
      <c r="N241" s="368" t="s">
        <v>301</v>
      </c>
      <c r="O241" s="372"/>
      <c r="P241" s="372"/>
      <c r="Q241" s="372"/>
      <c r="R241" s="372"/>
      <c r="S241" s="372"/>
      <c r="T241" s="372"/>
      <c r="U241" s="372"/>
      <c r="V241" s="372"/>
      <c r="W241" s="372"/>
      <c r="X241" s="373"/>
      <c r="Y241" s="134" t="s">
        <v>383</v>
      </c>
      <c r="Z241" s="119" t="s">
        <v>249</v>
      </c>
      <c r="AA241" s="119"/>
      <c r="AB241" s="137"/>
      <c r="AC241" s="730"/>
      <c r="AD241" s="730"/>
      <c r="AE241" s="730"/>
      <c r="AF241" s="730"/>
      <c r="AG241" s="109" t="str">
        <f>"ser_code = '" &amp; IF(A251="■",22,"") &amp; "'"</f>
        <v>ser_code = ''</v>
      </c>
      <c r="AI241" s="109" t="str">
        <f>"22:yakan_kinmu_code:" &amp; IF(I241="■",1,IF(M241="■",6,0))</f>
        <v>22:yakan_kinmu_code:0</v>
      </c>
      <c r="AJ241" s="109" t="str">
        <f>"22:field203:" &amp; IF(Y241="■",1,IF(Y242="■",2,0))</f>
        <v>22:field203:0</v>
      </c>
    </row>
    <row r="242" spans="1:36" s="109" customFormat="1" ht="18.75" customHeight="1" x14ac:dyDescent="0.2">
      <c r="A242" s="139"/>
      <c r="B242" s="123"/>
      <c r="C242" s="140"/>
      <c r="D242" s="141"/>
      <c r="E242" s="128"/>
      <c r="F242" s="142"/>
      <c r="G242" s="128"/>
      <c r="H242" s="738" t="s">
        <v>181</v>
      </c>
      <c r="I242" s="374" t="s">
        <v>383</v>
      </c>
      <c r="J242" s="375" t="s">
        <v>250</v>
      </c>
      <c r="K242" s="375"/>
      <c r="L242" s="376"/>
      <c r="M242" s="377" t="s">
        <v>383</v>
      </c>
      <c r="N242" s="375" t="s">
        <v>289</v>
      </c>
      <c r="O242" s="375"/>
      <c r="P242" s="376"/>
      <c r="Q242" s="377" t="s">
        <v>383</v>
      </c>
      <c r="R242" s="378" t="s">
        <v>290</v>
      </c>
      <c r="S242" s="378"/>
      <c r="T242" s="378"/>
      <c r="U242" s="377" t="s">
        <v>383</v>
      </c>
      <c r="V242" s="378" t="s">
        <v>291</v>
      </c>
      <c r="W242" s="378"/>
      <c r="X242" s="379"/>
      <c r="Y242" s="118" t="s">
        <v>383</v>
      </c>
      <c r="Z242" s="126" t="s">
        <v>255</v>
      </c>
      <c r="AA242" s="147"/>
      <c r="AB242" s="148"/>
      <c r="AC242" s="732"/>
      <c r="AD242" s="732"/>
      <c r="AE242" s="732"/>
      <c r="AF242" s="732"/>
      <c r="AG242" s="109" t="str">
        <f>"22:sisetukbn_code:" &amp; IF(D251="■",6,IF(D252="■",8,0))</f>
        <v>22:sisetukbn_code:0</v>
      </c>
      <c r="AI242" s="109" t="str">
        <f>"22:"&amp;IF(AND(I242="□",M242="□",Q242="□",U242="□",I243="□",M243="□",Q243="□"),"ketu_doctor_code:0",IF(I242="■","ketu_doctor_code:1:ketu_kangos_code:1:ketu_kshoku_code:1:ketu_rryoho_code:1:ketu_sryoho_code:1:ketu_gengo_code:1",
IF(M242="■","ketu_doctor_code:2","ketu_doctor_code:1")
&amp;IF(Q242="■",":ketu_kangos_code:2",":ketu_kangos_code:1")
&amp;IF(U242="■",":ketu_kshoku_code:2",":ketu_kshoku_code:1")
&amp;IF(I243="■",":ketu_rryoho_code:2",":ketu_rryoho_code:1")
&amp;IF(M243="■",":ketu_sryoho_code:2",":ketu_sryoho_code:1")
&amp;IF(Q243="■",":ketu_gengo_code:2",":ketu_gengo_code:1")))</f>
        <v>22:ketu_doctor_code:0</v>
      </c>
    </row>
    <row r="243" spans="1:36" s="109" customFormat="1" ht="18.75" customHeight="1" x14ac:dyDescent="0.2">
      <c r="A243" s="139"/>
      <c r="B243" s="123"/>
      <c r="C243" s="140"/>
      <c r="D243" s="141"/>
      <c r="E243" s="128"/>
      <c r="F243" s="142"/>
      <c r="G243" s="128"/>
      <c r="H243" s="739"/>
      <c r="I243" s="380" t="s">
        <v>383</v>
      </c>
      <c r="J243" s="381" t="s">
        <v>292</v>
      </c>
      <c r="K243" s="381"/>
      <c r="L243" s="382"/>
      <c r="M243" s="383" t="s">
        <v>383</v>
      </c>
      <c r="N243" s="381" t="s">
        <v>293</v>
      </c>
      <c r="O243" s="381"/>
      <c r="P243" s="382"/>
      <c r="Q243" s="383" t="s">
        <v>383</v>
      </c>
      <c r="R243" s="384" t="s">
        <v>294</v>
      </c>
      <c r="S243" s="384"/>
      <c r="T243" s="384"/>
      <c r="U243" s="384"/>
      <c r="V243" s="384"/>
      <c r="W243" s="384"/>
      <c r="X243" s="385"/>
      <c r="Y243" s="154"/>
      <c r="Z243" s="147"/>
      <c r="AA243" s="147"/>
      <c r="AB243" s="148"/>
      <c r="AC243" s="732"/>
      <c r="AD243" s="732"/>
      <c r="AE243" s="732"/>
      <c r="AF243" s="732"/>
    </row>
    <row r="244" spans="1:36" s="109" customFormat="1" ht="18.75" customHeight="1" x14ac:dyDescent="0.2">
      <c r="A244" s="139"/>
      <c r="B244" s="123"/>
      <c r="C244" s="140"/>
      <c r="D244" s="141"/>
      <c r="E244" s="128"/>
      <c r="F244" s="142"/>
      <c r="G244" s="128"/>
      <c r="H244" s="364" t="s">
        <v>98</v>
      </c>
      <c r="I244" s="349" t="s">
        <v>383</v>
      </c>
      <c r="J244" s="350" t="s">
        <v>265</v>
      </c>
      <c r="K244" s="351"/>
      <c r="L244" s="352"/>
      <c r="M244" s="353" t="s">
        <v>383</v>
      </c>
      <c r="N244" s="350" t="s">
        <v>266</v>
      </c>
      <c r="O244" s="355"/>
      <c r="P244" s="355"/>
      <c r="Q244" s="355"/>
      <c r="R244" s="355"/>
      <c r="S244" s="355"/>
      <c r="T244" s="355"/>
      <c r="U244" s="355"/>
      <c r="V244" s="355"/>
      <c r="W244" s="355"/>
      <c r="X244" s="356"/>
      <c r="Y244" s="154"/>
      <c r="Z244" s="147"/>
      <c r="AA244" s="147"/>
      <c r="AB244" s="148"/>
      <c r="AC244" s="732"/>
      <c r="AD244" s="732"/>
      <c r="AE244" s="732"/>
      <c r="AF244" s="732"/>
      <c r="AI244" s="109" t="str">
        <f>"22:unitcare_code:" &amp; IF(I244="■",1,IF(M244="■",2,0))</f>
        <v>22:unitcare_code:0</v>
      </c>
    </row>
    <row r="245" spans="1:36" s="109" customFormat="1" ht="18.75" customHeight="1" x14ac:dyDescent="0.2">
      <c r="A245" s="139"/>
      <c r="B245" s="123"/>
      <c r="C245" s="248"/>
      <c r="D245" s="249"/>
      <c r="E245" s="128"/>
      <c r="F245" s="142"/>
      <c r="G245" s="143"/>
      <c r="H245" s="364" t="s">
        <v>107</v>
      </c>
      <c r="I245" s="349" t="s">
        <v>383</v>
      </c>
      <c r="J245" s="350" t="s">
        <v>395</v>
      </c>
      <c r="K245" s="351"/>
      <c r="L245" s="352"/>
      <c r="M245" s="353" t="s">
        <v>383</v>
      </c>
      <c r="N245" s="350" t="s">
        <v>396</v>
      </c>
      <c r="O245" s="351"/>
      <c r="P245" s="351"/>
      <c r="Q245" s="351"/>
      <c r="R245" s="351"/>
      <c r="S245" s="351"/>
      <c r="T245" s="351"/>
      <c r="U245" s="351"/>
      <c r="V245" s="351"/>
      <c r="W245" s="351"/>
      <c r="X245" s="365"/>
      <c r="Y245" s="154"/>
      <c r="Z245" s="147"/>
      <c r="AA245" s="147"/>
      <c r="AB245" s="148"/>
      <c r="AC245" s="732"/>
      <c r="AD245" s="732"/>
      <c r="AE245" s="732"/>
      <c r="AF245" s="732"/>
      <c r="AI245" s="109" t="str">
        <f>"22:sintaikousoku_code:" &amp; IF(I245="■",1,IF(M245="■",2,0))</f>
        <v>22:sintaikousoku_code:0</v>
      </c>
    </row>
    <row r="246" spans="1:36" s="109" customFormat="1" ht="19.5" customHeight="1" x14ac:dyDescent="0.2">
      <c r="A246" s="139"/>
      <c r="B246" s="123"/>
      <c r="C246" s="140"/>
      <c r="D246" s="141"/>
      <c r="E246" s="128"/>
      <c r="F246" s="142"/>
      <c r="G246" s="143"/>
      <c r="H246" s="155" t="s">
        <v>430</v>
      </c>
      <c r="I246" s="156" t="s">
        <v>383</v>
      </c>
      <c r="J246" s="157" t="s">
        <v>395</v>
      </c>
      <c r="K246" s="158"/>
      <c r="L246" s="159"/>
      <c r="M246" s="160" t="s">
        <v>383</v>
      </c>
      <c r="N246" s="157" t="s">
        <v>431</v>
      </c>
      <c r="O246" s="161"/>
      <c r="P246" s="157"/>
      <c r="Q246" s="162"/>
      <c r="R246" s="162"/>
      <c r="S246" s="162"/>
      <c r="T246" s="162"/>
      <c r="U246" s="162"/>
      <c r="V246" s="162"/>
      <c r="W246" s="162"/>
      <c r="X246" s="163"/>
      <c r="Y246" s="147"/>
      <c r="Z246" s="147"/>
      <c r="AA246" s="147"/>
      <c r="AB246" s="148"/>
      <c r="AC246" s="732"/>
      <c r="AD246" s="732"/>
      <c r="AE246" s="732"/>
      <c r="AF246" s="732"/>
      <c r="AI246" s="109" t="str">
        <f>"22:field223:" &amp; IF(I246="■",1,IF(M246="■",2,0))</f>
        <v>22:field223:0</v>
      </c>
    </row>
    <row r="247" spans="1:36" s="109" customFormat="1" ht="19.5" customHeight="1" x14ac:dyDescent="0.2">
      <c r="A247" s="139"/>
      <c r="B247" s="123"/>
      <c r="C247" s="140"/>
      <c r="D247" s="141"/>
      <c r="E247" s="128"/>
      <c r="F247" s="142"/>
      <c r="G247" s="143"/>
      <c r="H247" s="155" t="s">
        <v>448</v>
      </c>
      <c r="I247" s="156" t="s">
        <v>383</v>
      </c>
      <c r="J247" s="157" t="s">
        <v>395</v>
      </c>
      <c r="K247" s="158"/>
      <c r="L247" s="159"/>
      <c r="M247" s="160" t="s">
        <v>383</v>
      </c>
      <c r="N247" s="157" t="s">
        <v>431</v>
      </c>
      <c r="O247" s="161"/>
      <c r="P247" s="157"/>
      <c r="Q247" s="162"/>
      <c r="R247" s="162"/>
      <c r="S247" s="162"/>
      <c r="T247" s="162"/>
      <c r="U247" s="162"/>
      <c r="V247" s="162"/>
      <c r="W247" s="162"/>
      <c r="X247" s="163"/>
      <c r="Y247" s="147"/>
      <c r="Z247" s="147"/>
      <c r="AA247" s="147"/>
      <c r="AB247" s="148"/>
      <c r="AC247" s="732"/>
      <c r="AD247" s="732"/>
      <c r="AE247" s="732"/>
      <c r="AF247" s="732"/>
      <c r="AI247" s="109" t="str">
        <f>"22:field232:" &amp; IF(I247="■",1,IF(M247="■",2,0))</f>
        <v>22:field232:0</v>
      </c>
    </row>
    <row r="248" spans="1:36" s="109" customFormat="1" ht="18.75" customHeight="1" x14ac:dyDescent="0.2">
      <c r="A248" s="139"/>
      <c r="B248" s="123"/>
      <c r="C248" s="140"/>
      <c r="D248" s="141"/>
      <c r="E248" s="128"/>
      <c r="F248" s="142"/>
      <c r="G248" s="128"/>
      <c r="H248" s="242" t="s">
        <v>111</v>
      </c>
      <c r="I248" s="156" t="s">
        <v>383</v>
      </c>
      <c r="J248" s="157" t="s">
        <v>250</v>
      </c>
      <c r="K248" s="158"/>
      <c r="L248" s="160" t="s">
        <v>383</v>
      </c>
      <c r="M248" s="157" t="s">
        <v>267</v>
      </c>
      <c r="N248" s="162"/>
      <c r="O248" s="162"/>
      <c r="P248" s="162"/>
      <c r="Q248" s="162"/>
      <c r="R248" s="162"/>
      <c r="S248" s="162"/>
      <c r="T248" s="162"/>
      <c r="U248" s="162"/>
      <c r="V248" s="162"/>
      <c r="W248" s="162"/>
      <c r="X248" s="163"/>
      <c r="Y248" s="154"/>
      <c r="Z248" s="147"/>
      <c r="AA248" s="147"/>
      <c r="AB248" s="148"/>
      <c r="AC248" s="732"/>
      <c r="AD248" s="732"/>
      <c r="AE248" s="732"/>
      <c r="AF248" s="732"/>
      <c r="AI248" s="109" t="str">
        <f>"22:yakinhaiti_code:" &amp; IF(I248="■",1,IF(L248="■",2,0))</f>
        <v>22:yakinhaiti_code:0</v>
      </c>
    </row>
    <row r="249" spans="1:36" s="109" customFormat="1" ht="18.75" customHeight="1" x14ac:dyDescent="0.2">
      <c r="A249" s="139"/>
      <c r="B249" s="123"/>
      <c r="C249" s="140"/>
      <c r="D249" s="141"/>
      <c r="E249" s="128"/>
      <c r="F249" s="142"/>
      <c r="G249" s="128"/>
      <c r="H249" s="242" t="s">
        <v>113</v>
      </c>
      <c r="I249" s="156" t="s">
        <v>383</v>
      </c>
      <c r="J249" s="157" t="s">
        <v>317</v>
      </c>
      <c r="K249" s="157"/>
      <c r="L249" s="159"/>
      <c r="M249" s="159"/>
      <c r="N249" s="160" t="s">
        <v>383</v>
      </c>
      <c r="O249" s="157" t="s">
        <v>318</v>
      </c>
      <c r="P249" s="162"/>
      <c r="Q249" s="162"/>
      <c r="R249" s="162"/>
      <c r="S249" s="160" t="s">
        <v>383</v>
      </c>
      <c r="T249" s="157" t="s">
        <v>319</v>
      </c>
      <c r="U249" s="162"/>
      <c r="V249" s="162"/>
      <c r="W249" s="162"/>
      <c r="X249" s="163"/>
      <c r="Y249" s="154"/>
      <c r="Z249" s="147"/>
      <c r="AA249" s="147"/>
      <c r="AB249" s="148"/>
      <c r="AC249" s="732"/>
      <c r="AD249" s="732"/>
      <c r="AE249" s="732"/>
      <c r="AF249" s="732"/>
      <c r="AI249" s="109" t="str">
        <f>"22:"&amp;IF(AND(I249="□",N249="□",S249="□"),"koriha_gengo_code:0:riha_seisin_code:0:koriha_other_code:0",IF(I249="■","koriha_gengo_code:2","koriha_gengo_code:1")
&amp;IF(N249="■",":riha_seisin_code:2",":riha_seisin_code:1")
&amp;IF(S249="■",":koriha_other_code:2",":koriha_other_code:1"))</f>
        <v>22:koriha_gengo_code:0:riha_seisin_code:0:koriha_other_code:0</v>
      </c>
    </row>
    <row r="250" spans="1:36" s="109" customFormat="1" ht="18.75" customHeight="1" x14ac:dyDescent="0.2">
      <c r="A250" s="139"/>
      <c r="B250" s="123"/>
      <c r="C250" s="140"/>
      <c r="D250" s="141"/>
      <c r="E250" s="128"/>
      <c r="F250" s="142"/>
      <c r="G250" s="128"/>
      <c r="H250" s="242" t="s">
        <v>100</v>
      </c>
      <c r="I250" s="156" t="s">
        <v>383</v>
      </c>
      <c r="J250" s="157" t="s">
        <v>250</v>
      </c>
      <c r="K250" s="158"/>
      <c r="L250" s="160" t="s">
        <v>383</v>
      </c>
      <c r="M250" s="157" t="s">
        <v>267</v>
      </c>
      <c r="N250" s="162"/>
      <c r="O250" s="162"/>
      <c r="P250" s="162"/>
      <c r="Q250" s="162"/>
      <c r="R250" s="162"/>
      <c r="S250" s="162"/>
      <c r="T250" s="162"/>
      <c r="U250" s="162"/>
      <c r="V250" s="162"/>
      <c r="W250" s="162"/>
      <c r="X250" s="163"/>
      <c r="Y250" s="154"/>
      <c r="Z250" s="147"/>
      <c r="AA250" s="147"/>
      <c r="AB250" s="148"/>
      <c r="AC250" s="732"/>
      <c r="AD250" s="732"/>
      <c r="AE250" s="732"/>
      <c r="AF250" s="732"/>
      <c r="AI250" s="109" t="str">
        <f>"22:ninticare_code:" &amp; IF(I250="■",1,IF(L250="■",2,0))</f>
        <v>22:ninticare_code:0</v>
      </c>
    </row>
    <row r="251" spans="1:36" s="109" customFormat="1" ht="18.75" customHeight="1" x14ac:dyDescent="0.2">
      <c r="A251" s="125" t="s">
        <v>383</v>
      </c>
      <c r="B251" s="123">
        <v>22</v>
      </c>
      <c r="C251" s="140" t="s">
        <v>193</v>
      </c>
      <c r="D251" s="118" t="s">
        <v>383</v>
      </c>
      <c r="E251" s="128" t="s">
        <v>323</v>
      </c>
      <c r="F251" s="142"/>
      <c r="G251" s="128"/>
      <c r="H251" s="242" t="s">
        <v>110</v>
      </c>
      <c r="I251" s="156" t="s">
        <v>383</v>
      </c>
      <c r="J251" s="157" t="s">
        <v>250</v>
      </c>
      <c r="K251" s="158"/>
      <c r="L251" s="160" t="s">
        <v>383</v>
      </c>
      <c r="M251" s="157" t="s">
        <v>267</v>
      </c>
      <c r="N251" s="162"/>
      <c r="O251" s="162"/>
      <c r="P251" s="162"/>
      <c r="Q251" s="162"/>
      <c r="R251" s="162"/>
      <c r="S251" s="162"/>
      <c r="T251" s="162"/>
      <c r="U251" s="162"/>
      <c r="V251" s="162"/>
      <c r="W251" s="162"/>
      <c r="X251" s="163"/>
      <c r="Y251" s="154"/>
      <c r="Z251" s="147"/>
      <c r="AA251" s="147"/>
      <c r="AB251" s="148"/>
      <c r="AC251" s="732"/>
      <c r="AD251" s="732"/>
      <c r="AE251" s="732"/>
      <c r="AF251" s="732"/>
      <c r="AI251" s="109" t="str">
        <f>"22:jyakuninti_uke_code:" &amp; IF(I251="■",1,IF(L251="■",2,0))</f>
        <v>22:jyakuninti_uke_code:0</v>
      </c>
    </row>
    <row r="252" spans="1:36" s="109" customFormat="1" ht="18.75" customHeight="1" x14ac:dyDescent="0.2">
      <c r="A252" s="139"/>
      <c r="B252" s="123"/>
      <c r="C252" s="140"/>
      <c r="D252" s="118" t="s">
        <v>383</v>
      </c>
      <c r="E252" s="128" t="s">
        <v>325</v>
      </c>
      <c r="F252" s="142"/>
      <c r="G252" s="128"/>
      <c r="H252" s="242" t="s">
        <v>95</v>
      </c>
      <c r="I252" s="156" t="s">
        <v>383</v>
      </c>
      <c r="J252" s="157" t="s">
        <v>265</v>
      </c>
      <c r="K252" s="158"/>
      <c r="L252" s="159"/>
      <c r="M252" s="160" t="s">
        <v>383</v>
      </c>
      <c r="N252" s="157" t="s">
        <v>266</v>
      </c>
      <c r="O252" s="162"/>
      <c r="P252" s="162"/>
      <c r="Q252" s="162"/>
      <c r="R252" s="162"/>
      <c r="S252" s="162"/>
      <c r="T252" s="162"/>
      <c r="U252" s="162"/>
      <c r="V252" s="162"/>
      <c r="W252" s="162"/>
      <c r="X252" s="163"/>
      <c r="Y252" s="154"/>
      <c r="Z252" s="147"/>
      <c r="AA252" s="147"/>
      <c r="AB252" s="148"/>
      <c r="AC252" s="732"/>
      <c r="AD252" s="732"/>
      <c r="AE252" s="732"/>
      <c r="AF252" s="732"/>
      <c r="AI252" s="109" t="str">
        <f>"22:sougei_code:" &amp; IF(I252="■",1,IF(M252="■",2,0))</f>
        <v>22:sougei_code:0</v>
      </c>
    </row>
    <row r="253" spans="1:36" s="109" customFormat="1" ht="18.75" customHeight="1" x14ac:dyDescent="0.2">
      <c r="A253" s="139"/>
      <c r="B253" s="123"/>
      <c r="C253" s="140"/>
      <c r="D253" s="141"/>
      <c r="E253" s="128"/>
      <c r="F253" s="142"/>
      <c r="G253" s="128"/>
      <c r="H253" s="242" t="s">
        <v>114</v>
      </c>
      <c r="I253" s="156" t="s">
        <v>383</v>
      </c>
      <c r="J253" s="157" t="s">
        <v>320</v>
      </c>
      <c r="K253" s="162"/>
      <c r="L253" s="162"/>
      <c r="M253" s="162"/>
      <c r="N253" s="162"/>
      <c r="O253" s="162"/>
      <c r="P253" s="160" t="s">
        <v>383</v>
      </c>
      <c r="Q253" s="157" t="s">
        <v>321</v>
      </c>
      <c r="R253" s="162"/>
      <c r="S253" s="207"/>
      <c r="T253" s="162"/>
      <c r="U253" s="162"/>
      <c r="V253" s="162"/>
      <c r="W253" s="162"/>
      <c r="X253" s="163"/>
      <c r="Y253" s="154"/>
      <c r="Z253" s="147"/>
      <c r="AA253" s="147"/>
      <c r="AB253" s="148"/>
      <c r="AC253" s="732"/>
      <c r="AD253" s="732"/>
      <c r="AE253" s="732"/>
      <c r="AF253" s="732"/>
      <c r="AI253" s="109" t="str">
        <f>"22:" &amp; IF(AND(I253="□",P253="□"),"tokusin_jyusho_code:0:tokusin_yakuzai_code:0",IF(I253="■","tokusin_jyusho_code:2","tokusin_jyusho_code:1")
&amp;IF(P253="■",":tokusin_yakuzai_code:2",":tokusin_yakuzai_code:1"))</f>
        <v>22:tokusin_jyusho_code:0:tokusin_yakuzai_code:0</v>
      </c>
    </row>
    <row r="254" spans="1:36" s="109" customFormat="1" ht="18.75" customHeight="1" x14ac:dyDescent="0.2">
      <c r="A254" s="139"/>
      <c r="B254" s="123"/>
      <c r="C254" s="140"/>
      <c r="D254" s="141"/>
      <c r="E254" s="128"/>
      <c r="F254" s="142"/>
      <c r="G254" s="128"/>
      <c r="H254" s="242" t="s">
        <v>174</v>
      </c>
      <c r="I254" s="156" t="s">
        <v>383</v>
      </c>
      <c r="J254" s="157" t="s">
        <v>250</v>
      </c>
      <c r="K254" s="158"/>
      <c r="L254" s="160" t="s">
        <v>383</v>
      </c>
      <c r="M254" s="157" t="s">
        <v>267</v>
      </c>
      <c r="N254" s="207"/>
      <c r="O254" s="207"/>
      <c r="P254" s="207"/>
      <c r="Q254" s="207"/>
      <c r="R254" s="207"/>
      <c r="S254" s="207"/>
      <c r="T254" s="207"/>
      <c r="U254" s="207"/>
      <c r="V254" s="207"/>
      <c r="W254" s="207"/>
      <c r="X254" s="208"/>
      <c r="Y254" s="154"/>
      <c r="Z254" s="147"/>
      <c r="AA254" s="147"/>
      <c r="AB254" s="148"/>
      <c r="AC254" s="732"/>
      <c r="AD254" s="732"/>
      <c r="AE254" s="732"/>
      <c r="AF254" s="732"/>
      <c r="AI254" s="109" t="str">
        <f>"22:field198:" &amp; IF(I254="■",1,IF(L254="■",2,0))</f>
        <v>22:field198:0</v>
      </c>
    </row>
    <row r="255" spans="1:36" s="109" customFormat="1" ht="18.75" customHeight="1" x14ac:dyDescent="0.2">
      <c r="A255" s="139"/>
      <c r="B255" s="123"/>
      <c r="C255" s="140"/>
      <c r="D255" s="141"/>
      <c r="E255" s="128"/>
      <c r="F255" s="142"/>
      <c r="G255" s="128"/>
      <c r="H255" s="242" t="s">
        <v>175</v>
      </c>
      <c r="I255" s="156" t="s">
        <v>383</v>
      </c>
      <c r="J255" s="157" t="s">
        <v>250</v>
      </c>
      <c r="K255" s="158"/>
      <c r="L255" s="160" t="s">
        <v>383</v>
      </c>
      <c r="M255" s="157" t="s">
        <v>267</v>
      </c>
      <c r="N255" s="207"/>
      <c r="O255" s="207"/>
      <c r="P255" s="207"/>
      <c r="Q255" s="207"/>
      <c r="R255" s="207"/>
      <c r="S255" s="207"/>
      <c r="T255" s="207"/>
      <c r="U255" s="207"/>
      <c r="V255" s="207"/>
      <c r="W255" s="207"/>
      <c r="X255" s="208"/>
      <c r="Y255" s="154"/>
      <c r="Z255" s="147"/>
      <c r="AA255" s="147"/>
      <c r="AB255" s="148"/>
      <c r="AC255" s="732"/>
      <c r="AD255" s="732"/>
      <c r="AE255" s="732"/>
      <c r="AF255" s="732"/>
      <c r="AI255" s="109" t="str">
        <f>"22:field199:" &amp; IF(I255="■",1,IF(L255="■",2,0))</f>
        <v>22:field199:0</v>
      </c>
    </row>
    <row r="256" spans="1:36" s="109" customFormat="1" ht="19.5" customHeight="1" x14ac:dyDescent="0.2">
      <c r="A256" s="139"/>
      <c r="B256" s="123"/>
      <c r="C256" s="140"/>
      <c r="D256" s="141"/>
      <c r="E256" s="128"/>
      <c r="F256" s="142"/>
      <c r="G256" s="143"/>
      <c r="H256" s="155" t="s">
        <v>433</v>
      </c>
      <c r="I256" s="156" t="s">
        <v>383</v>
      </c>
      <c r="J256" s="157" t="s">
        <v>250</v>
      </c>
      <c r="K256" s="157"/>
      <c r="L256" s="160" t="s">
        <v>383</v>
      </c>
      <c r="M256" s="157" t="s">
        <v>267</v>
      </c>
      <c r="N256" s="157"/>
      <c r="O256" s="162"/>
      <c r="P256" s="157"/>
      <c r="Q256" s="162"/>
      <c r="R256" s="162"/>
      <c r="S256" s="162"/>
      <c r="T256" s="162"/>
      <c r="U256" s="162"/>
      <c r="V256" s="162"/>
      <c r="W256" s="162"/>
      <c r="X256" s="163"/>
      <c r="Y256" s="147"/>
      <c r="Z256" s="147"/>
      <c r="AA256" s="147"/>
      <c r="AB256" s="148"/>
      <c r="AC256" s="732"/>
      <c r="AD256" s="732"/>
      <c r="AE256" s="732"/>
      <c r="AF256" s="732"/>
      <c r="AI256" s="109" t="str">
        <f>"22:field224:" &amp; IF(I256="■",1,IF(L256="■",2,0))</f>
        <v>22:field224:0</v>
      </c>
    </row>
    <row r="257" spans="1:36" s="109" customFormat="1" ht="18.75" customHeight="1" x14ac:dyDescent="0.2">
      <c r="A257" s="139"/>
      <c r="B257" s="123"/>
      <c r="C257" s="140"/>
      <c r="D257" s="141"/>
      <c r="E257" s="128"/>
      <c r="F257" s="142"/>
      <c r="G257" s="128"/>
      <c r="H257" s="242" t="s">
        <v>112</v>
      </c>
      <c r="I257" s="156" t="s">
        <v>383</v>
      </c>
      <c r="J257" s="157" t="s">
        <v>250</v>
      </c>
      <c r="K257" s="158"/>
      <c r="L257" s="160" t="s">
        <v>383</v>
      </c>
      <c r="M257" s="157" t="s">
        <v>267</v>
      </c>
      <c r="N257" s="162"/>
      <c r="O257" s="162"/>
      <c r="P257" s="162"/>
      <c r="Q257" s="162"/>
      <c r="R257" s="162"/>
      <c r="S257" s="162"/>
      <c r="T257" s="162"/>
      <c r="U257" s="162"/>
      <c r="V257" s="162"/>
      <c r="W257" s="162"/>
      <c r="X257" s="163"/>
      <c r="Y257" s="154"/>
      <c r="Z257" s="147"/>
      <c r="AA257" s="147"/>
      <c r="AB257" s="148"/>
      <c r="AC257" s="732"/>
      <c r="AD257" s="732"/>
      <c r="AE257" s="732"/>
      <c r="AF257" s="732"/>
      <c r="AI257" s="109" t="str">
        <f>"22:ryouyoushoku_code:" &amp; IF(I257="■",1,IF(L257="■",2,0))</f>
        <v>22:ryouyoushoku_code:0</v>
      </c>
    </row>
    <row r="258" spans="1:36" s="109" customFormat="1" ht="18.75" customHeight="1" x14ac:dyDescent="0.2">
      <c r="A258" s="139"/>
      <c r="B258" s="123"/>
      <c r="C258" s="140"/>
      <c r="D258" s="141"/>
      <c r="E258" s="128"/>
      <c r="F258" s="142"/>
      <c r="G258" s="128"/>
      <c r="H258" s="242" t="s">
        <v>184</v>
      </c>
      <c r="I258" s="156" t="s">
        <v>383</v>
      </c>
      <c r="J258" s="157" t="s">
        <v>250</v>
      </c>
      <c r="K258" s="157"/>
      <c r="L258" s="160" t="s">
        <v>383</v>
      </c>
      <c r="M258" s="157" t="s">
        <v>251</v>
      </c>
      <c r="N258" s="157"/>
      <c r="O258" s="160" t="s">
        <v>383</v>
      </c>
      <c r="P258" s="157" t="s">
        <v>252</v>
      </c>
      <c r="Q258" s="162"/>
      <c r="R258" s="162"/>
      <c r="S258" s="162"/>
      <c r="T258" s="162"/>
      <c r="U258" s="162"/>
      <c r="V258" s="162"/>
      <c r="W258" s="162"/>
      <c r="X258" s="163"/>
      <c r="Y258" s="154"/>
      <c r="Z258" s="147"/>
      <c r="AA258" s="147"/>
      <c r="AB258" s="148"/>
      <c r="AC258" s="732"/>
      <c r="AD258" s="732"/>
      <c r="AE258" s="732"/>
      <c r="AF258" s="732"/>
      <c r="AI258" s="109" t="str">
        <f>"22:ninti_senmoncare_code:" &amp; IF(I258="■",1,IF(O258="■",3,IF(L258="■",2,0)))</f>
        <v>22:ninti_senmoncare_code:0</v>
      </c>
    </row>
    <row r="259" spans="1:36" s="109" customFormat="1" ht="18.75" customHeight="1" x14ac:dyDescent="0.2">
      <c r="A259" s="139"/>
      <c r="B259" s="123"/>
      <c r="C259" s="140"/>
      <c r="D259" s="141"/>
      <c r="E259" s="128"/>
      <c r="F259" s="142"/>
      <c r="G259" s="128"/>
      <c r="H259" s="250" t="s">
        <v>442</v>
      </c>
      <c r="I259" s="156" t="s">
        <v>383</v>
      </c>
      <c r="J259" s="157" t="s">
        <v>250</v>
      </c>
      <c r="K259" s="157"/>
      <c r="L259" s="160" t="s">
        <v>383</v>
      </c>
      <c r="M259" s="157" t="s">
        <v>251</v>
      </c>
      <c r="N259" s="157"/>
      <c r="O259" s="160" t="s">
        <v>383</v>
      </c>
      <c r="P259" s="157" t="s">
        <v>252</v>
      </c>
      <c r="Q259" s="162"/>
      <c r="R259" s="162"/>
      <c r="S259" s="162"/>
      <c r="T259" s="162"/>
      <c r="U259" s="251"/>
      <c r="V259" s="251"/>
      <c r="W259" s="251"/>
      <c r="X259" s="252"/>
      <c r="Y259" s="154"/>
      <c r="Z259" s="147"/>
      <c r="AA259" s="147"/>
      <c r="AB259" s="148"/>
      <c r="AC259" s="732"/>
      <c r="AD259" s="732"/>
      <c r="AE259" s="732"/>
      <c r="AF259" s="732"/>
      <c r="AI259" s="109" t="str">
        <f>"22:field225:" &amp; IF(I259="■",1,IF(L259="■",2,IF(O259="■",3,0)))</f>
        <v>22:field225:0</v>
      </c>
    </row>
    <row r="260" spans="1:36" s="109" customFormat="1" ht="18.75" customHeight="1" x14ac:dyDescent="0.2">
      <c r="A260" s="139"/>
      <c r="B260" s="123"/>
      <c r="C260" s="140"/>
      <c r="D260" s="141"/>
      <c r="E260" s="128"/>
      <c r="F260" s="142"/>
      <c r="G260" s="128"/>
      <c r="H260" s="239" t="s">
        <v>118</v>
      </c>
      <c r="I260" s="156" t="s">
        <v>383</v>
      </c>
      <c r="J260" s="157" t="s">
        <v>250</v>
      </c>
      <c r="K260" s="157"/>
      <c r="L260" s="160" t="s">
        <v>383</v>
      </c>
      <c r="M260" s="157" t="s">
        <v>258</v>
      </c>
      <c r="N260" s="157"/>
      <c r="O260" s="160" t="s">
        <v>383</v>
      </c>
      <c r="P260" s="157" t="s">
        <v>259</v>
      </c>
      <c r="Q260" s="207"/>
      <c r="R260" s="160" t="s">
        <v>383</v>
      </c>
      <c r="S260" s="157" t="s">
        <v>283</v>
      </c>
      <c r="T260" s="207"/>
      <c r="U260" s="207"/>
      <c r="V260" s="207"/>
      <c r="W260" s="207"/>
      <c r="X260" s="208"/>
      <c r="Y260" s="154"/>
      <c r="Z260" s="147"/>
      <c r="AA260" s="147"/>
      <c r="AB260" s="148"/>
      <c r="AC260" s="732"/>
      <c r="AD260" s="732"/>
      <c r="AE260" s="732"/>
      <c r="AF260" s="732"/>
      <c r="AI260" s="109" t="str">
        <f>"22:serteikyo_kyoka_code:" &amp; IF(I260="■",1,IF(L260="■",6,IF(O260="■",5,IF(R260="■",7,0))))</f>
        <v>22:serteikyo_kyoka_code:0</v>
      </c>
    </row>
    <row r="261" spans="1:36" s="109" customFormat="1" ht="18.75" customHeight="1" x14ac:dyDescent="0.2">
      <c r="A261" s="139"/>
      <c r="B261" s="123"/>
      <c r="C261" s="140"/>
      <c r="D261" s="141"/>
      <c r="E261" s="128"/>
      <c r="F261" s="142"/>
      <c r="G261" s="128"/>
      <c r="H261" s="713" t="s">
        <v>801</v>
      </c>
      <c r="I261" s="725" t="s">
        <v>383</v>
      </c>
      <c r="J261" s="726" t="s">
        <v>250</v>
      </c>
      <c r="K261" s="726"/>
      <c r="L261" s="727" t="s">
        <v>383</v>
      </c>
      <c r="M261" s="726" t="s">
        <v>267</v>
      </c>
      <c r="N261" s="726"/>
      <c r="O261" s="168"/>
      <c r="P261" s="168"/>
      <c r="Q261" s="168"/>
      <c r="R261" s="168"/>
      <c r="S261" s="168"/>
      <c r="T261" s="168"/>
      <c r="U261" s="168"/>
      <c r="V261" s="168"/>
      <c r="W261" s="168"/>
      <c r="X261" s="173"/>
      <c r="Y261" s="154"/>
      <c r="Z261" s="147"/>
      <c r="AA261" s="147"/>
      <c r="AB261" s="148"/>
      <c r="AC261" s="732"/>
      <c r="AD261" s="732"/>
      <c r="AE261" s="732"/>
      <c r="AF261" s="732"/>
      <c r="AI261" s="109" t="str">
        <f>"22:field221:" &amp; IF(I261="■",1,IF(L261="■",2,0))</f>
        <v>22:field221:0</v>
      </c>
    </row>
    <row r="262" spans="1:36" s="109" customFormat="1" ht="18.75" customHeight="1" x14ac:dyDescent="0.2">
      <c r="A262" s="139"/>
      <c r="B262" s="670"/>
      <c r="C262" s="140"/>
      <c r="D262" s="141"/>
      <c r="E262" s="128"/>
      <c r="F262" s="142"/>
      <c r="G262" s="128"/>
      <c r="H262" s="737"/>
      <c r="I262" s="725"/>
      <c r="J262" s="726"/>
      <c r="K262" s="726"/>
      <c r="L262" s="727"/>
      <c r="M262" s="726"/>
      <c r="N262" s="726"/>
      <c r="O262" s="169"/>
      <c r="P262" s="169"/>
      <c r="Q262" s="169"/>
      <c r="R262" s="169"/>
      <c r="S262" s="169"/>
      <c r="T262" s="169"/>
      <c r="U262" s="169"/>
      <c r="V262" s="169"/>
      <c r="W262" s="169"/>
      <c r="X262" s="170"/>
      <c r="Y262" s="154"/>
      <c r="Z262" s="147"/>
      <c r="AA262" s="147"/>
      <c r="AB262" s="148"/>
      <c r="AC262" s="732"/>
      <c r="AD262" s="732"/>
      <c r="AE262" s="732"/>
      <c r="AF262" s="732"/>
    </row>
    <row r="263" spans="1:36" s="621" customFormat="1" ht="18.75" customHeight="1" x14ac:dyDescent="0.2">
      <c r="A263" s="139"/>
      <c r="B263" s="670"/>
      <c r="C263" s="140"/>
      <c r="D263" s="141"/>
      <c r="E263" s="128"/>
      <c r="F263" s="142"/>
      <c r="G263" s="128"/>
      <c r="H263" s="713" t="s">
        <v>790</v>
      </c>
      <c r="I263" s="642" t="s">
        <v>383</v>
      </c>
      <c r="J263" s="616" t="s">
        <v>627</v>
      </c>
      <c r="K263" s="616"/>
      <c r="L263" s="615"/>
      <c r="M263" s="644" t="s">
        <v>383</v>
      </c>
      <c r="N263" s="616" t="s">
        <v>791</v>
      </c>
      <c r="O263" s="617"/>
      <c r="P263" s="615"/>
      <c r="Q263" s="644" t="s">
        <v>383</v>
      </c>
      <c r="R263" s="618" t="s">
        <v>802</v>
      </c>
      <c r="S263" s="615"/>
      <c r="T263" s="615"/>
      <c r="U263" s="615"/>
      <c r="V263" s="618"/>
      <c r="W263" s="619"/>
      <c r="X263" s="620"/>
      <c r="Y263" s="154"/>
      <c r="Z263" s="147"/>
      <c r="AA263" s="147"/>
      <c r="AB263" s="148"/>
      <c r="AC263" s="733"/>
      <c r="AD263" s="733"/>
      <c r="AE263" s="733"/>
      <c r="AF263" s="733"/>
    </row>
    <row r="264" spans="1:36" s="621" customFormat="1" ht="18" customHeight="1" x14ac:dyDescent="0.2">
      <c r="A264" s="139"/>
      <c r="B264" s="670"/>
      <c r="C264" s="140"/>
      <c r="D264" s="141"/>
      <c r="E264" s="128"/>
      <c r="F264" s="142"/>
      <c r="G264" s="128"/>
      <c r="H264" s="714"/>
      <c r="I264" s="643" t="s">
        <v>383</v>
      </c>
      <c r="J264" s="623" t="s">
        <v>803</v>
      </c>
      <c r="K264" s="623"/>
      <c r="L264" s="622"/>
      <c r="M264" s="211" t="s">
        <v>383</v>
      </c>
      <c r="N264" s="623" t="s">
        <v>804</v>
      </c>
      <c r="O264" s="624"/>
      <c r="P264" s="622"/>
      <c r="Q264" s="211" t="s">
        <v>383</v>
      </c>
      <c r="R264" s="623" t="s">
        <v>795</v>
      </c>
      <c r="S264" s="622"/>
      <c r="T264" s="623"/>
      <c r="U264" s="211" t="s">
        <v>383</v>
      </c>
      <c r="V264" s="623" t="s">
        <v>796</v>
      </c>
      <c r="W264" s="625"/>
      <c r="X264" s="626"/>
      <c r="Y264" s="154"/>
      <c r="Z264" s="147"/>
      <c r="AA264" s="147"/>
      <c r="AB264" s="148"/>
      <c r="AC264" s="733"/>
      <c r="AD264" s="733"/>
      <c r="AE264" s="733"/>
      <c r="AF264" s="733"/>
    </row>
    <row r="265" spans="1:36" s="109" customFormat="1" ht="18.75" customHeight="1" x14ac:dyDescent="0.2">
      <c r="A265" s="129"/>
      <c r="B265" s="116"/>
      <c r="C265" s="130"/>
      <c r="D265" s="131"/>
      <c r="E265" s="121"/>
      <c r="F265" s="131"/>
      <c r="G265" s="133"/>
      <c r="H265" s="366" t="s">
        <v>97</v>
      </c>
      <c r="I265" s="367" t="s">
        <v>383</v>
      </c>
      <c r="J265" s="368" t="s">
        <v>300</v>
      </c>
      <c r="K265" s="369"/>
      <c r="L265" s="370"/>
      <c r="M265" s="371" t="s">
        <v>383</v>
      </c>
      <c r="N265" s="368" t="s">
        <v>301</v>
      </c>
      <c r="O265" s="372"/>
      <c r="P265" s="372"/>
      <c r="Q265" s="372"/>
      <c r="R265" s="372"/>
      <c r="S265" s="372"/>
      <c r="T265" s="372"/>
      <c r="U265" s="372"/>
      <c r="V265" s="372"/>
      <c r="W265" s="372"/>
      <c r="X265" s="373"/>
      <c r="Y265" s="138" t="s">
        <v>383</v>
      </c>
      <c r="Z265" s="119" t="s">
        <v>249</v>
      </c>
      <c r="AA265" s="119"/>
      <c r="AB265" s="137"/>
      <c r="AC265" s="730"/>
      <c r="AD265" s="730"/>
      <c r="AE265" s="730"/>
      <c r="AF265" s="730"/>
      <c r="AG265" s="109" t="str">
        <f>"ser_code = '" &amp; IF(A274="■",22,"") &amp; "'"</f>
        <v>ser_code = ''</v>
      </c>
      <c r="AI265" s="109" t="str">
        <f>"22:yakan_kinmu_code:" &amp; IF(I265="■",1,IF(M265="■",6,0))</f>
        <v>22:yakan_kinmu_code:0</v>
      </c>
      <c r="AJ265" s="109" t="str">
        <f>"22:field203:" &amp; IF(Y265="■",1,IF(Y266="■",2,0))</f>
        <v>22:field203:0</v>
      </c>
    </row>
    <row r="266" spans="1:36" s="109" customFormat="1" ht="18.75" customHeight="1" x14ac:dyDescent="0.2">
      <c r="A266" s="139"/>
      <c r="B266" s="123"/>
      <c r="C266" s="140"/>
      <c r="D266" s="141"/>
      <c r="E266" s="128"/>
      <c r="F266" s="141"/>
      <c r="G266" s="143"/>
      <c r="H266" s="738" t="s">
        <v>181</v>
      </c>
      <c r="I266" s="374" t="s">
        <v>383</v>
      </c>
      <c r="J266" s="375" t="s">
        <v>250</v>
      </c>
      <c r="K266" s="375"/>
      <c r="L266" s="376"/>
      <c r="M266" s="377" t="s">
        <v>383</v>
      </c>
      <c r="N266" s="375" t="s">
        <v>289</v>
      </c>
      <c r="O266" s="375"/>
      <c r="P266" s="376"/>
      <c r="Q266" s="377" t="s">
        <v>383</v>
      </c>
      <c r="R266" s="378" t="s">
        <v>290</v>
      </c>
      <c r="S266" s="378"/>
      <c r="T266" s="378"/>
      <c r="U266" s="377" t="s">
        <v>383</v>
      </c>
      <c r="V266" s="378" t="s">
        <v>291</v>
      </c>
      <c r="W266" s="378"/>
      <c r="X266" s="379"/>
      <c r="Y266" s="118" t="s">
        <v>383</v>
      </c>
      <c r="Z266" s="126" t="s">
        <v>255</v>
      </c>
      <c r="AA266" s="147"/>
      <c r="AB266" s="148"/>
      <c r="AC266" s="732"/>
      <c r="AD266" s="732"/>
      <c r="AE266" s="732"/>
      <c r="AF266" s="732"/>
      <c r="AG266" s="109" t="str">
        <f>"22:sisetukbn_code:" &amp; IF(D274="■",9,0)</f>
        <v>22:sisetukbn_code:0</v>
      </c>
      <c r="AI266" s="109" t="str">
        <f>"22:"&amp;IF(AND(I266="□",M266="□",Q266="□",U266="□",I267="□",M267="□",Q267="□"),"ketu_doctor_code:0",IF(I266="■","ketu_doctor_code:1:ketu_kangos_code:1:ketu_kshoku_code:1:ketu_rryoho_code:1:ketu_sryoho_code:1:ketu_gengo_code:1",
IF(M266="■","ketu_doctor_code:2","ketu_doctor_code:1")
&amp;IF(Q266="■",":ketu_kangos_code:2",":ketu_kangos_code:1")
&amp;IF(U266="■",":ketu_kshoku_code:2",":ketu_kshoku_code:1")
&amp;IF(I267="■",":ketu_rryoho_code:2",":ketu_rryoho_code:1")
&amp;IF(M267="■",":ketu_sryoho_code:2",":ketu_sryoho_code:1")
&amp;IF(Q267="■",":ketu_gengo_code:2",":ketu_gengo_code:1")))</f>
        <v>22:ketu_doctor_code:0</v>
      </c>
    </row>
    <row r="267" spans="1:36" s="109" customFormat="1" ht="18.75" customHeight="1" x14ac:dyDescent="0.2">
      <c r="A267" s="139"/>
      <c r="B267" s="123"/>
      <c r="C267" s="140"/>
      <c r="D267" s="141"/>
      <c r="E267" s="128"/>
      <c r="F267" s="141"/>
      <c r="G267" s="143"/>
      <c r="H267" s="739"/>
      <c r="I267" s="380" t="s">
        <v>383</v>
      </c>
      <c r="J267" s="381" t="s">
        <v>292</v>
      </c>
      <c r="K267" s="381"/>
      <c r="L267" s="382"/>
      <c r="M267" s="383" t="s">
        <v>383</v>
      </c>
      <c r="N267" s="381" t="s">
        <v>293</v>
      </c>
      <c r="O267" s="381"/>
      <c r="P267" s="382"/>
      <c r="Q267" s="383" t="s">
        <v>383</v>
      </c>
      <c r="R267" s="384" t="s">
        <v>294</v>
      </c>
      <c r="S267" s="384"/>
      <c r="T267" s="384"/>
      <c r="U267" s="384"/>
      <c r="V267" s="384"/>
      <c r="W267" s="384"/>
      <c r="X267" s="385"/>
      <c r="Y267" s="154"/>
      <c r="Z267" s="147"/>
      <c r="AA267" s="147"/>
      <c r="AB267" s="148"/>
      <c r="AC267" s="732"/>
      <c r="AD267" s="732"/>
      <c r="AE267" s="732"/>
      <c r="AF267" s="732"/>
    </row>
    <row r="268" spans="1:36" s="109" customFormat="1" ht="18.75" customHeight="1" x14ac:dyDescent="0.2">
      <c r="A268" s="139"/>
      <c r="B268" s="123"/>
      <c r="C268" s="140"/>
      <c r="D268" s="141"/>
      <c r="E268" s="128"/>
      <c r="F268" s="141"/>
      <c r="G268" s="143"/>
      <c r="H268" s="364" t="s">
        <v>98</v>
      </c>
      <c r="I268" s="349" t="s">
        <v>383</v>
      </c>
      <c r="J268" s="350" t="s">
        <v>265</v>
      </c>
      <c r="K268" s="351"/>
      <c r="L268" s="352"/>
      <c r="M268" s="353" t="s">
        <v>383</v>
      </c>
      <c r="N268" s="350" t="s">
        <v>266</v>
      </c>
      <c r="O268" s="355"/>
      <c r="P268" s="355"/>
      <c r="Q268" s="355"/>
      <c r="R268" s="355"/>
      <c r="S268" s="355"/>
      <c r="T268" s="355"/>
      <c r="U268" s="355"/>
      <c r="V268" s="355"/>
      <c r="W268" s="355"/>
      <c r="X268" s="356"/>
      <c r="Y268" s="154"/>
      <c r="Z268" s="147"/>
      <c r="AA268" s="147"/>
      <c r="AB268" s="148"/>
      <c r="AC268" s="732"/>
      <c r="AD268" s="732"/>
      <c r="AE268" s="732"/>
      <c r="AF268" s="732"/>
      <c r="AI268" s="109" t="str">
        <f>"22:unitcare_code:" &amp; IF(I268="■",1,IF(M268="■",2,0))</f>
        <v>22:unitcare_code:0</v>
      </c>
    </row>
    <row r="269" spans="1:36" s="109" customFormat="1" ht="18.75" customHeight="1" x14ac:dyDescent="0.2">
      <c r="A269" s="139"/>
      <c r="B269" s="123"/>
      <c r="C269" s="248"/>
      <c r="D269" s="249"/>
      <c r="E269" s="128"/>
      <c r="F269" s="142"/>
      <c r="G269" s="143"/>
      <c r="H269" s="364" t="s">
        <v>107</v>
      </c>
      <c r="I269" s="349" t="s">
        <v>383</v>
      </c>
      <c r="J269" s="350" t="s">
        <v>395</v>
      </c>
      <c r="K269" s="351"/>
      <c r="L269" s="352"/>
      <c r="M269" s="353" t="s">
        <v>383</v>
      </c>
      <c r="N269" s="350" t="s">
        <v>396</v>
      </c>
      <c r="O269" s="351"/>
      <c r="P269" s="351"/>
      <c r="Q269" s="351"/>
      <c r="R269" s="351"/>
      <c r="S269" s="351"/>
      <c r="T269" s="351"/>
      <c r="U269" s="351"/>
      <c r="V269" s="351"/>
      <c r="W269" s="351"/>
      <c r="X269" s="365"/>
      <c r="Y269" s="154"/>
      <c r="Z269" s="147"/>
      <c r="AA269" s="147"/>
      <c r="AB269" s="148"/>
      <c r="AC269" s="732"/>
      <c r="AD269" s="732"/>
      <c r="AE269" s="732"/>
      <c r="AF269" s="732"/>
      <c r="AI269" s="109" t="str">
        <f>"22:sintaikousoku_code:" &amp; IF(I269="■",1,IF(M269="■",2,0))</f>
        <v>22:sintaikousoku_code:0</v>
      </c>
    </row>
    <row r="270" spans="1:36" s="109" customFormat="1" ht="19.5" customHeight="1" x14ac:dyDescent="0.2">
      <c r="A270" s="139"/>
      <c r="B270" s="123"/>
      <c r="C270" s="140"/>
      <c r="D270" s="141"/>
      <c r="E270" s="128"/>
      <c r="F270" s="142"/>
      <c r="G270" s="143"/>
      <c r="H270" s="155" t="s">
        <v>430</v>
      </c>
      <c r="I270" s="156" t="s">
        <v>383</v>
      </c>
      <c r="J270" s="157" t="s">
        <v>395</v>
      </c>
      <c r="K270" s="158"/>
      <c r="L270" s="159"/>
      <c r="M270" s="160" t="s">
        <v>383</v>
      </c>
      <c r="N270" s="157" t="s">
        <v>431</v>
      </c>
      <c r="O270" s="161"/>
      <c r="P270" s="157"/>
      <c r="Q270" s="162"/>
      <c r="R270" s="162"/>
      <c r="S270" s="162"/>
      <c r="T270" s="162"/>
      <c r="U270" s="162"/>
      <c r="V270" s="162"/>
      <c r="W270" s="162"/>
      <c r="X270" s="163"/>
      <c r="Y270" s="147"/>
      <c r="Z270" s="147"/>
      <c r="AA270" s="147"/>
      <c r="AB270" s="148"/>
      <c r="AC270" s="732"/>
      <c r="AD270" s="732"/>
      <c r="AE270" s="732"/>
      <c r="AF270" s="732"/>
      <c r="AI270" s="109" t="str">
        <f>"22:field223:" &amp; IF(I270="■",1,IF(M270="■",2,0))</f>
        <v>22:field223:0</v>
      </c>
    </row>
    <row r="271" spans="1:36" s="109" customFormat="1" ht="19.5" customHeight="1" x14ac:dyDescent="0.2">
      <c r="A271" s="139"/>
      <c r="B271" s="123"/>
      <c r="C271" s="140"/>
      <c r="D271" s="141"/>
      <c r="E271" s="128"/>
      <c r="F271" s="142"/>
      <c r="G271" s="143"/>
      <c r="H271" s="155" t="s">
        <v>448</v>
      </c>
      <c r="I271" s="156" t="s">
        <v>383</v>
      </c>
      <c r="J271" s="157" t="s">
        <v>395</v>
      </c>
      <c r="K271" s="158"/>
      <c r="L271" s="159"/>
      <c r="M271" s="160" t="s">
        <v>383</v>
      </c>
      <c r="N271" s="157" t="s">
        <v>431</v>
      </c>
      <c r="O271" s="161"/>
      <c r="P271" s="157"/>
      <c r="Q271" s="162"/>
      <c r="R271" s="162"/>
      <c r="S271" s="162"/>
      <c r="T271" s="162"/>
      <c r="U271" s="162"/>
      <c r="V271" s="162"/>
      <c r="W271" s="162"/>
      <c r="X271" s="163"/>
      <c r="Y271" s="147"/>
      <c r="Z271" s="147"/>
      <c r="AA271" s="147"/>
      <c r="AB271" s="148"/>
      <c r="AC271" s="732"/>
      <c r="AD271" s="732"/>
      <c r="AE271" s="732"/>
      <c r="AF271" s="732"/>
      <c r="AI271" s="109" t="str">
        <f>"22:field232:" &amp; IF(I271="■",1,IF(M271="■",2,0))</f>
        <v>22:field232:0</v>
      </c>
    </row>
    <row r="272" spans="1:36" s="1" customFormat="1" ht="19.5" customHeight="1" x14ac:dyDescent="0.2">
      <c r="A272" s="88"/>
      <c r="B272" s="91"/>
      <c r="C272" s="87"/>
      <c r="D272" s="89"/>
      <c r="E272" s="90"/>
      <c r="F272" s="101"/>
      <c r="G272" s="100"/>
      <c r="H272" s="348" t="s">
        <v>638</v>
      </c>
      <c r="I272" s="406" t="s">
        <v>383</v>
      </c>
      <c r="J272" s="381" t="s">
        <v>624</v>
      </c>
      <c r="K272" s="472"/>
      <c r="L272" s="382"/>
      <c r="M272" s="408" t="s">
        <v>383</v>
      </c>
      <c r="N272" s="381" t="s">
        <v>625</v>
      </c>
      <c r="O272" s="473"/>
      <c r="P272" s="381"/>
      <c r="Q272" s="474"/>
      <c r="R272" s="474"/>
      <c r="S272" s="474"/>
      <c r="T272" s="474"/>
      <c r="U272" s="474"/>
      <c r="V272" s="474"/>
      <c r="W272" s="474"/>
      <c r="X272" s="475"/>
      <c r="Y272" s="85"/>
      <c r="Z272" s="2"/>
      <c r="AA272" s="92"/>
      <c r="AB272" s="102"/>
      <c r="AC272" s="732"/>
      <c r="AD272" s="732"/>
      <c r="AE272" s="732"/>
      <c r="AF272" s="732"/>
      <c r="AI272" s="109" t="str">
        <f>"22:field242:" &amp; IF(I272="■",1,IF(M272="■",2,0))</f>
        <v>22:field242:0</v>
      </c>
    </row>
    <row r="273" spans="1:36" s="109" customFormat="1" ht="18.75" customHeight="1" x14ac:dyDescent="0.2">
      <c r="A273" s="139"/>
      <c r="B273" s="123"/>
      <c r="C273" s="140"/>
      <c r="D273" s="141"/>
      <c r="E273" s="128"/>
      <c r="F273" s="141"/>
      <c r="G273" s="143"/>
      <c r="H273" s="242" t="s">
        <v>111</v>
      </c>
      <c r="I273" s="156" t="s">
        <v>383</v>
      </c>
      <c r="J273" s="157" t="s">
        <v>250</v>
      </c>
      <c r="K273" s="158"/>
      <c r="L273" s="160" t="s">
        <v>383</v>
      </c>
      <c r="M273" s="157" t="s">
        <v>267</v>
      </c>
      <c r="N273" s="162"/>
      <c r="O273" s="162"/>
      <c r="P273" s="162"/>
      <c r="Q273" s="162"/>
      <c r="R273" s="162"/>
      <c r="S273" s="162"/>
      <c r="T273" s="162"/>
      <c r="U273" s="162"/>
      <c r="V273" s="162"/>
      <c r="W273" s="162"/>
      <c r="X273" s="163"/>
      <c r="Y273" s="154"/>
      <c r="Z273" s="147"/>
      <c r="AA273" s="147"/>
      <c r="AB273" s="148"/>
      <c r="AC273" s="732"/>
      <c r="AD273" s="732"/>
      <c r="AE273" s="732"/>
      <c r="AF273" s="732"/>
      <c r="AI273" s="109" t="str">
        <f>"22:yakinhaiti_code:" &amp; IF(I273="■",1,IF(L273="■",2,0))</f>
        <v>22:yakinhaiti_code:0</v>
      </c>
    </row>
    <row r="274" spans="1:36" s="109" customFormat="1" ht="18.75" customHeight="1" x14ac:dyDescent="0.2">
      <c r="A274" s="125" t="s">
        <v>383</v>
      </c>
      <c r="B274" s="123">
        <v>22</v>
      </c>
      <c r="C274" s="140" t="s">
        <v>193</v>
      </c>
      <c r="D274" s="118" t="s">
        <v>383</v>
      </c>
      <c r="E274" s="128" t="s">
        <v>326</v>
      </c>
      <c r="F274" s="141"/>
      <c r="G274" s="143"/>
      <c r="H274" s="242" t="s">
        <v>100</v>
      </c>
      <c r="I274" s="156" t="s">
        <v>383</v>
      </c>
      <c r="J274" s="157" t="s">
        <v>250</v>
      </c>
      <c r="K274" s="158"/>
      <c r="L274" s="160" t="s">
        <v>383</v>
      </c>
      <c r="M274" s="157" t="s">
        <v>267</v>
      </c>
      <c r="N274" s="162"/>
      <c r="O274" s="162"/>
      <c r="P274" s="162"/>
      <c r="Q274" s="162"/>
      <c r="R274" s="162"/>
      <c r="S274" s="162"/>
      <c r="T274" s="162"/>
      <c r="U274" s="162"/>
      <c r="V274" s="162"/>
      <c r="W274" s="162"/>
      <c r="X274" s="163"/>
      <c r="Y274" s="154"/>
      <c r="Z274" s="147"/>
      <c r="AA274" s="147"/>
      <c r="AB274" s="148"/>
      <c r="AC274" s="732"/>
      <c r="AD274" s="732"/>
      <c r="AE274" s="732"/>
      <c r="AF274" s="732"/>
      <c r="AI274" s="109" t="str">
        <f>"22:ninticare_code:" &amp; IF(I274="■",1,IF(L274="■",2,0))</f>
        <v>22:ninticare_code:0</v>
      </c>
    </row>
    <row r="275" spans="1:36" s="109" customFormat="1" ht="18.75" customHeight="1" x14ac:dyDescent="0.2">
      <c r="A275" s="139"/>
      <c r="B275" s="123"/>
      <c r="C275" s="140"/>
      <c r="D275" s="141"/>
      <c r="E275" s="128"/>
      <c r="F275" s="141"/>
      <c r="G275" s="143"/>
      <c r="H275" s="242" t="s">
        <v>110</v>
      </c>
      <c r="I275" s="156" t="s">
        <v>383</v>
      </c>
      <c r="J275" s="157" t="s">
        <v>250</v>
      </c>
      <c r="K275" s="158"/>
      <c r="L275" s="160" t="s">
        <v>383</v>
      </c>
      <c r="M275" s="157" t="s">
        <v>267</v>
      </c>
      <c r="N275" s="162"/>
      <c r="O275" s="162"/>
      <c r="P275" s="162"/>
      <c r="Q275" s="162"/>
      <c r="R275" s="162"/>
      <c r="S275" s="162"/>
      <c r="T275" s="162"/>
      <c r="U275" s="162"/>
      <c r="V275" s="162"/>
      <c r="W275" s="162"/>
      <c r="X275" s="163"/>
      <c r="Y275" s="154"/>
      <c r="Z275" s="147"/>
      <c r="AA275" s="147"/>
      <c r="AB275" s="148"/>
      <c r="AC275" s="732"/>
      <c r="AD275" s="732"/>
      <c r="AE275" s="732"/>
      <c r="AF275" s="732"/>
      <c r="AI275" s="109" t="str">
        <f>"22:jyakuninti_uke_code:" &amp; IF(I275="■",1,IF(L275="■",2,0))</f>
        <v>22:jyakuninti_uke_code:0</v>
      </c>
    </row>
    <row r="276" spans="1:36" s="109" customFormat="1" ht="18.75" customHeight="1" x14ac:dyDescent="0.2">
      <c r="A276" s="139"/>
      <c r="B276" s="123"/>
      <c r="C276" s="140"/>
      <c r="D276" s="141"/>
      <c r="E276" s="128"/>
      <c r="F276" s="141"/>
      <c r="G276" s="143"/>
      <c r="H276" s="242" t="s">
        <v>95</v>
      </c>
      <c r="I276" s="156" t="s">
        <v>383</v>
      </c>
      <c r="J276" s="157" t="s">
        <v>265</v>
      </c>
      <c r="K276" s="158"/>
      <c r="L276" s="159"/>
      <c r="M276" s="160" t="s">
        <v>383</v>
      </c>
      <c r="N276" s="157" t="s">
        <v>266</v>
      </c>
      <c r="O276" s="162"/>
      <c r="P276" s="162"/>
      <c r="Q276" s="162"/>
      <c r="R276" s="162"/>
      <c r="S276" s="162"/>
      <c r="T276" s="162"/>
      <c r="U276" s="162"/>
      <c r="V276" s="162"/>
      <c r="W276" s="162"/>
      <c r="X276" s="163"/>
      <c r="Y276" s="154"/>
      <c r="Z276" s="147"/>
      <c r="AA276" s="147"/>
      <c r="AB276" s="148"/>
      <c r="AC276" s="732"/>
      <c r="AD276" s="732"/>
      <c r="AE276" s="732"/>
      <c r="AF276" s="732"/>
      <c r="AI276" s="109" t="str">
        <f>"22:sougei_code:" &amp; IF(I276="■",1,IF(M276="■",2,0))</f>
        <v>22:sougei_code:0</v>
      </c>
    </row>
    <row r="277" spans="1:36" s="109" customFormat="1" ht="19.5" customHeight="1" x14ac:dyDescent="0.2">
      <c r="A277" s="139"/>
      <c r="B277" s="123"/>
      <c r="C277" s="140"/>
      <c r="D277" s="141"/>
      <c r="E277" s="128"/>
      <c r="F277" s="142"/>
      <c r="G277" s="143"/>
      <c r="H277" s="155" t="s">
        <v>433</v>
      </c>
      <c r="I277" s="156" t="s">
        <v>383</v>
      </c>
      <c r="J277" s="157" t="s">
        <v>250</v>
      </c>
      <c r="K277" s="157"/>
      <c r="L277" s="160" t="s">
        <v>383</v>
      </c>
      <c r="M277" s="157" t="s">
        <v>267</v>
      </c>
      <c r="N277" s="157"/>
      <c r="O277" s="162"/>
      <c r="P277" s="157"/>
      <c r="Q277" s="162"/>
      <c r="R277" s="162"/>
      <c r="S277" s="162"/>
      <c r="T277" s="162"/>
      <c r="U277" s="162"/>
      <c r="V277" s="162"/>
      <c r="W277" s="162"/>
      <c r="X277" s="163"/>
      <c r="Y277" s="147"/>
      <c r="Z277" s="147"/>
      <c r="AA277" s="147"/>
      <c r="AB277" s="148"/>
      <c r="AC277" s="732"/>
      <c r="AD277" s="732"/>
      <c r="AE277" s="732"/>
      <c r="AF277" s="732"/>
      <c r="AI277" s="109" t="str">
        <f>"22:field224:" &amp; IF(I277="■",1,IF(L277="■",2,0))</f>
        <v>22:field224:0</v>
      </c>
    </row>
    <row r="278" spans="1:36" s="109" customFormat="1" ht="18.75" customHeight="1" x14ac:dyDescent="0.2">
      <c r="A278" s="139"/>
      <c r="B278" s="123"/>
      <c r="C278" s="140"/>
      <c r="D278" s="141"/>
      <c r="E278" s="128"/>
      <c r="F278" s="141"/>
      <c r="G278" s="143"/>
      <c r="H278" s="242" t="s">
        <v>112</v>
      </c>
      <c r="I278" s="156" t="s">
        <v>383</v>
      </c>
      <c r="J278" s="157" t="s">
        <v>250</v>
      </c>
      <c r="K278" s="158"/>
      <c r="L278" s="160" t="s">
        <v>383</v>
      </c>
      <c r="M278" s="157" t="s">
        <v>267</v>
      </c>
      <c r="N278" s="162"/>
      <c r="O278" s="162"/>
      <c r="P278" s="162"/>
      <c r="Q278" s="162"/>
      <c r="R278" s="162"/>
      <c r="S278" s="162"/>
      <c r="T278" s="162"/>
      <c r="U278" s="162"/>
      <c r="V278" s="162"/>
      <c r="W278" s="162"/>
      <c r="X278" s="163"/>
      <c r="Y278" s="154"/>
      <c r="Z278" s="147"/>
      <c r="AA278" s="147"/>
      <c r="AB278" s="148"/>
      <c r="AC278" s="732"/>
      <c r="AD278" s="732"/>
      <c r="AE278" s="732"/>
      <c r="AF278" s="732"/>
      <c r="AI278" s="109" t="str">
        <f>"22:ryouyoushoku_code:" &amp; IF(I278="■",1,IF(L278="■",2,0))</f>
        <v>22:ryouyoushoku_code:0</v>
      </c>
    </row>
    <row r="279" spans="1:36" s="109" customFormat="1" ht="18.75" customHeight="1" x14ac:dyDescent="0.2">
      <c r="A279" s="139"/>
      <c r="B279" s="123"/>
      <c r="C279" s="140"/>
      <c r="D279" s="141"/>
      <c r="E279" s="128"/>
      <c r="F279" s="141"/>
      <c r="G279" s="143"/>
      <c r="H279" s="242" t="s">
        <v>184</v>
      </c>
      <c r="I279" s="156" t="s">
        <v>383</v>
      </c>
      <c r="J279" s="157" t="s">
        <v>250</v>
      </c>
      <c r="K279" s="157"/>
      <c r="L279" s="160" t="s">
        <v>383</v>
      </c>
      <c r="M279" s="157" t="s">
        <v>251</v>
      </c>
      <c r="N279" s="157"/>
      <c r="O279" s="160" t="s">
        <v>383</v>
      </c>
      <c r="P279" s="157" t="s">
        <v>252</v>
      </c>
      <c r="Q279" s="162"/>
      <c r="R279" s="162"/>
      <c r="S279" s="162"/>
      <c r="T279" s="162"/>
      <c r="U279" s="162"/>
      <c r="V279" s="162"/>
      <c r="W279" s="162"/>
      <c r="X279" s="163"/>
      <c r="Y279" s="154"/>
      <c r="Z279" s="147"/>
      <c r="AA279" s="147"/>
      <c r="AB279" s="148"/>
      <c r="AC279" s="732"/>
      <c r="AD279" s="732"/>
      <c r="AE279" s="732"/>
      <c r="AF279" s="732"/>
      <c r="AI279" s="109" t="str">
        <f>"22:ninti_senmoncare_code:" &amp; IF(I279="■",1,IF(O279="■",3,IF(L279="■",2,0)))</f>
        <v>22:ninti_senmoncare_code:0</v>
      </c>
    </row>
    <row r="280" spans="1:36" s="109" customFormat="1" ht="18.75" customHeight="1" x14ac:dyDescent="0.2">
      <c r="A280" s="139"/>
      <c r="B280" s="123"/>
      <c r="C280" s="140"/>
      <c r="D280" s="141"/>
      <c r="E280" s="128"/>
      <c r="F280" s="141"/>
      <c r="G280" s="143"/>
      <c r="H280" s="250" t="s">
        <v>442</v>
      </c>
      <c r="I280" s="156" t="s">
        <v>383</v>
      </c>
      <c r="J280" s="157" t="s">
        <v>250</v>
      </c>
      <c r="K280" s="157"/>
      <c r="L280" s="160" t="s">
        <v>383</v>
      </c>
      <c r="M280" s="157" t="s">
        <v>251</v>
      </c>
      <c r="N280" s="157"/>
      <c r="O280" s="160" t="s">
        <v>383</v>
      </c>
      <c r="P280" s="157" t="s">
        <v>252</v>
      </c>
      <c r="Q280" s="162"/>
      <c r="R280" s="162"/>
      <c r="S280" s="162"/>
      <c r="T280" s="162"/>
      <c r="U280" s="251"/>
      <c r="V280" s="251"/>
      <c r="W280" s="251"/>
      <c r="X280" s="252"/>
      <c r="Y280" s="154"/>
      <c r="Z280" s="147"/>
      <c r="AA280" s="147"/>
      <c r="AB280" s="148"/>
      <c r="AC280" s="732"/>
      <c r="AD280" s="732"/>
      <c r="AE280" s="732"/>
      <c r="AF280" s="732"/>
      <c r="AI280" s="109" t="str">
        <f>"22:field225:" &amp; IF(I280="■",1,IF(L280="■",2,IF(O280="■",3,0)))</f>
        <v>22:field225:0</v>
      </c>
    </row>
    <row r="281" spans="1:36" s="109" customFormat="1" ht="18.75" customHeight="1" x14ac:dyDescent="0.2">
      <c r="A281" s="139"/>
      <c r="B281" s="123"/>
      <c r="C281" s="140"/>
      <c r="D281" s="141"/>
      <c r="E281" s="128"/>
      <c r="F281" s="141"/>
      <c r="G281" s="143"/>
      <c r="H281" s="239" t="s">
        <v>118</v>
      </c>
      <c r="I281" s="156" t="s">
        <v>383</v>
      </c>
      <c r="J281" s="157" t="s">
        <v>250</v>
      </c>
      <c r="K281" s="157"/>
      <c r="L281" s="160" t="s">
        <v>383</v>
      </c>
      <c r="M281" s="157" t="s">
        <v>258</v>
      </c>
      <c r="N281" s="157"/>
      <c r="O281" s="160" t="s">
        <v>383</v>
      </c>
      <c r="P281" s="157" t="s">
        <v>259</v>
      </c>
      <c r="Q281" s="207"/>
      <c r="R281" s="160" t="s">
        <v>383</v>
      </c>
      <c r="S281" s="157" t="s">
        <v>283</v>
      </c>
      <c r="T281" s="207"/>
      <c r="U281" s="207"/>
      <c r="V281" s="207"/>
      <c r="W281" s="207"/>
      <c r="X281" s="208"/>
      <c r="Y281" s="154"/>
      <c r="Z281" s="147"/>
      <c r="AA281" s="147"/>
      <c r="AB281" s="148"/>
      <c r="AC281" s="732"/>
      <c r="AD281" s="732"/>
      <c r="AE281" s="732"/>
      <c r="AF281" s="732"/>
      <c r="AI281" s="109" t="str">
        <f>"22:serteikyo_kyoka_code:" &amp; IF(I281="■",1,IF(L281="■",6,IF(O281="■",5,IF(R281="■",7,0))))</f>
        <v>22:serteikyo_kyoka_code:0</v>
      </c>
    </row>
    <row r="282" spans="1:36" s="109" customFormat="1" ht="18.75" customHeight="1" x14ac:dyDescent="0.2">
      <c r="A282" s="139"/>
      <c r="B282" s="123"/>
      <c r="C282" s="140"/>
      <c r="D282" s="141"/>
      <c r="E282" s="128"/>
      <c r="F282" s="141"/>
      <c r="G282" s="143"/>
      <c r="H282" s="713" t="s">
        <v>801</v>
      </c>
      <c r="I282" s="725" t="s">
        <v>383</v>
      </c>
      <c r="J282" s="726" t="s">
        <v>250</v>
      </c>
      <c r="K282" s="726"/>
      <c r="L282" s="727" t="s">
        <v>383</v>
      </c>
      <c r="M282" s="726" t="s">
        <v>267</v>
      </c>
      <c r="N282" s="726"/>
      <c r="O282" s="168"/>
      <c r="P282" s="168"/>
      <c r="Q282" s="168"/>
      <c r="R282" s="168"/>
      <c r="S282" s="168"/>
      <c r="T282" s="168"/>
      <c r="U282" s="168"/>
      <c r="V282" s="168"/>
      <c r="W282" s="168"/>
      <c r="X282" s="173"/>
      <c r="Y282" s="154"/>
      <c r="Z282" s="147"/>
      <c r="AA282" s="147"/>
      <c r="AB282" s="148"/>
      <c r="AC282" s="732"/>
      <c r="AD282" s="732"/>
      <c r="AE282" s="732"/>
      <c r="AF282" s="732"/>
      <c r="AI282" s="109" t="str">
        <f>"22:field221:" &amp; IF(I282="■",1,IF(L282="■",2,0))</f>
        <v>22:field221:0</v>
      </c>
    </row>
    <row r="283" spans="1:36" s="109" customFormat="1" ht="18.75" customHeight="1" x14ac:dyDescent="0.2">
      <c r="A283" s="139"/>
      <c r="B283" s="670"/>
      <c r="C283" s="140"/>
      <c r="D283" s="141"/>
      <c r="E283" s="128"/>
      <c r="F283" s="141"/>
      <c r="G283" s="143"/>
      <c r="H283" s="737"/>
      <c r="I283" s="725"/>
      <c r="J283" s="726"/>
      <c r="K283" s="726"/>
      <c r="L283" s="727"/>
      <c r="M283" s="726"/>
      <c r="N283" s="726"/>
      <c r="O283" s="169"/>
      <c r="P283" s="169"/>
      <c r="Q283" s="169"/>
      <c r="R283" s="169"/>
      <c r="S283" s="169"/>
      <c r="T283" s="169"/>
      <c r="U283" s="169"/>
      <c r="V283" s="169"/>
      <c r="W283" s="169"/>
      <c r="X283" s="170"/>
      <c r="Y283" s="154"/>
      <c r="Z283" s="147"/>
      <c r="AA283" s="147"/>
      <c r="AB283" s="148"/>
      <c r="AC283" s="732"/>
      <c r="AD283" s="732"/>
      <c r="AE283" s="732"/>
      <c r="AF283" s="732"/>
    </row>
    <row r="284" spans="1:36" s="621" customFormat="1" ht="18.75" customHeight="1" x14ac:dyDescent="0.2">
      <c r="A284" s="139"/>
      <c r="B284" s="670"/>
      <c r="C284" s="140"/>
      <c r="D284" s="141"/>
      <c r="E284" s="128"/>
      <c r="F284" s="141"/>
      <c r="G284" s="143"/>
      <c r="H284" s="713" t="s">
        <v>790</v>
      </c>
      <c r="I284" s="642" t="s">
        <v>383</v>
      </c>
      <c r="J284" s="616" t="s">
        <v>627</v>
      </c>
      <c r="K284" s="616"/>
      <c r="L284" s="615"/>
      <c r="M284" s="644" t="s">
        <v>383</v>
      </c>
      <c r="N284" s="616" t="s">
        <v>791</v>
      </c>
      <c r="O284" s="617"/>
      <c r="P284" s="615"/>
      <c r="Q284" s="644" t="s">
        <v>383</v>
      </c>
      <c r="R284" s="618" t="s">
        <v>802</v>
      </c>
      <c r="S284" s="615"/>
      <c r="T284" s="615"/>
      <c r="U284" s="615"/>
      <c r="V284" s="618"/>
      <c r="W284" s="619"/>
      <c r="X284" s="620"/>
      <c r="Y284" s="154"/>
      <c r="Z284" s="147"/>
      <c r="AA284" s="147"/>
      <c r="AB284" s="148"/>
      <c r="AC284" s="732"/>
      <c r="AD284" s="732"/>
      <c r="AE284" s="732"/>
      <c r="AF284" s="732"/>
    </row>
    <row r="285" spans="1:36" s="621" customFormat="1" ht="18.75" customHeight="1" x14ac:dyDescent="0.2">
      <c r="A285" s="139"/>
      <c r="B285" s="670"/>
      <c r="C285" s="140"/>
      <c r="D285" s="141"/>
      <c r="E285" s="128"/>
      <c r="F285" s="141"/>
      <c r="G285" s="143"/>
      <c r="H285" s="714"/>
      <c r="I285" s="643" t="s">
        <v>383</v>
      </c>
      <c r="J285" s="623" t="s">
        <v>803</v>
      </c>
      <c r="K285" s="623"/>
      <c r="L285" s="622"/>
      <c r="M285" s="211" t="s">
        <v>383</v>
      </c>
      <c r="N285" s="623" t="s">
        <v>804</v>
      </c>
      <c r="O285" s="624"/>
      <c r="P285" s="622"/>
      <c r="Q285" s="211" t="s">
        <v>383</v>
      </c>
      <c r="R285" s="623" t="s">
        <v>795</v>
      </c>
      <c r="S285" s="622"/>
      <c r="T285" s="623"/>
      <c r="U285" s="211" t="s">
        <v>383</v>
      </c>
      <c r="V285" s="623" t="s">
        <v>796</v>
      </c>
      <c r="W285" s="625"/>
      <c r="X285" s="626"/>
      <c r="Y285" s="154"/>
      <c r="Z285" s="147"/>
      <c r="AA285" s="147"/>
      <c r="AB285" s="148"/>
      <c r="AC285" s="732"/>
      <c r="AD285" s="732"/>
      <c r="AE285" s="732"/>
      <c r="AF285" s="732"/>
    </row>
    <row r="286" spans="1:36" s="109" customFormat="1" ht="18.75" customHeight="1" x14ac:dyDescent="0.2">
      <c r="A286" s="129"/>
      <c r="B286" s="116"/>
      <c r="C286" s="130"/>
      <c r="D286" s="131"/>
      <c r="E286" s="121"/>
      <c r="F286" s="131"/>
      <c r="G286" s="133"/>
      <c r="H286" s="366" t="s">
        <v>97</v>
      </c>
      <c r="I286" s="367" t="s">
        <v>383</v>
      </c>
      <c r="J286" s="368" t="s">
        <v>300</v>
      </c>
      <c r="K286" s="369"/>
      <c r="L286" s="370"/>
      <c r="M286" s="371" t="s">
        <v>383</v>
      </c>
      <c r="N286" s="368" t="s">
        <v>301</v>
      </c>
      <c r="O286" s="372"/>
      <c r="P286" s="372"/>
      <c r="Q286" s="372"/>
      <c r="R286" s="372"/>
      <c r="S286" s="372"/>
      <c r="T286" s="372"/>
      <c r="U286" s="372"/>
      <c r="V286" s="372"/>
      <c r="W286" s="372"/>
      <c r="X286" s="373"/>
      <c r="Y286" s="138" t="s">
        <v>383</v>
      </c>
      <c r="Z286" s="119" t="s">
        <v>249</v>
      </c>
      <c r="AA286" s="119"/>
      <c r="AB286" s="137"/>
      <c r="AC286" s="730"/>
      <c r="AD286" s="730"/>
      <c r="AE286" s="730"/>
      <c r="AF286" s="730"/>
      <c r="AG286" s="109" t="str">
        <f>"ser_code = '" &amp; IF(A294="■",22,"") &amp; "'"</f>
        <v>ser_code = ''</v>
      </c>
      <c r="AI286" s="109" t="str">
        <f>"22:yakan_kinmu_code:" &amp; IF(I286="■",1,IF(M286="■",6,0))</f>
        <v>22:yakan_kinmu_code:0</v>
      </c>
      <c r="AJ286" s="109" t="str">
        <f>"22:field203:" &amp; IF(Y286="■",1,IF(Y287="■",2,0))</f>
        <v>22:field203:0</v>
      </c>
    </row>
    <row r="287" spans="1:36" s="109" customFormat="1" ht="18.75" customHeight="1" x14ac:dyDescent="0.2">
      <c r="A287" s="139"/>
      <c r="B287" s="123"/>
      <c r="C287" s="140"/>
      <c r="D287" s="141"/>
      <c r="E287" s="128"/>
      <c r="F287" s="141"/>
      <c r="G287" s="143"/>
      <c r="H287" s="738" t="s">
        <v>181</v>
      </c>
      <c r="I287" s="374" t="s">
        <v>383</v>
      </c>
      <c r="J287" s="375" t="s">
        <v>250</v>
      </c>
      <c r="K287" s="375"/>
      <c r="L287" s="376"/>
      <c r="M287" s="377" t="s">
        <v>383</v>
      </c>
      <c r="N287" s="375" t="s">
        <v>289</v>
      </c>
      <c r="O287" s="375"/>
      <c r="P287" s="376"/>
      <c r="Q287" s="377" t="s">
        <v>383</v>
      </c>
      <c r="R287" s="378" t="s">
        <v>290</v>
      </c>
      <c r="S287" s="378"/>
      <c r="T287" s="378"/>
      <c r="U287" s="377" t="s">
        <v>383</v>
      </c>
      <c r="V287" s="378" t="s">
        <v>291</v>
      </c>
      <c r="W287" s="378"/>
      <c r="X287" s="379"/>
      <c r="Y287" s="118" t="s">
        <v>383</v>
      </c>
      <c r="Z287" s="126" t="s">
        <v>255</v>
      </c>
      <c r="AA287" s="147"/>
      <c r="AB287" s="148"/>
      <c r="AC287" s="732"/>
      <c r="AD287" s="732"/>
      <c r="AE287" s="732"/>
      <c r="AF287" s="732"/>
      <c r="AG287" s="109" t="str">
        <f>"22:sisetukbn_code:" &amp; IF(D294="■","A",0)</f>
        <v>22:sisetukbn_code:0</v>
      </c>
      <c r="AI287" s="109" t="str">
        <f>"22:"&amp;IF(AND(I287="□",M287="□",Q287="□",U287="□",I288="□",M288="□",Q288="□"),"ketu_doctor_code:0",IF(I287="■","ketu_doctor_code:1:ketu_kangos_code:1:ketu_kshoku_code:1:ketu_rryoho_code:1:ketu_sryoho_code:1:ketu_gengo_code:1",
IF(M287="■","ketu_doctor_code:2","ketu_doctor_code:1")
&amp;IF(Q287="■",":ketu_kangos_code:2",":ketu_kangos_code:1")
&amp;IF(U287="■",":ketu_kshoku_code:2",":ketu_kshoku_code:1")
&amp;IF(I288="■",":ketu_rryoho_code:2",":ketu_rryoho_code:1")
&amp;IF(M288="■",":ketu_sryoho_code:2",":ketu_sryoho_code:1")
&amp;IF(Q288="■",":ketu_gengo_code:2",":ketu_gengo_code:1")))</f>
        <v>22:ketu_doctor_code:0</v>
      </c>
    </row>
    <row r="288" spans="1:36" s="109" customFormat="1" ht="18.75" customHeight="1" x14ac:dyDescent="0.2">
      <c r="A288" s="139"/>
      <c r="B288" s="123"/>
      <c r="C288" s="140"/>
      <c r="D288" s="141"/>
      <c r="E288" s="128"/>
      <c r="F288" s="141"/>
      <c r="G288" s="143"/>
      <c r="H288" s="739"/>
      <c r="I288" s="380" t="s">
        <v>383</v>
      </c>
      <c r="J288" s="381" t="s">
        <v>292</v>
      </c>
      <c r="K288" s="381"/>
      <c r="L288" s="382"/>
      <c r="M288" s="383" t="s">
        <v>383</v>
      </c>
      <c r="N288" s="381" t="s">
        <v>293</v>
      </c>
      <c r="O288" s="381"/>
      <c r="P288" s="382"/>
      <c r="Q288" s="383" t="s">
        <v>383</v>
      </c>
      <c r="R288" s="384" t="s">
        <v>294</v>
      </c>
      <c r="S288" s="384"/>
      <c r="T288" s="384"/>
      <c r="U288" s="384"/>
      <c r="V288" s="384"/>
      <c r="W288" s="384"/>
      <c r="X288" s="385"/>
      <c r="Y288" s="154"/>
      <c r="Z288" s="147"/>
      <c r="AA288" s="147"/>
      <c r="AB288" s="148"/>
      <c r="AC288" s="732"/>
      <c r="AD288" s="732"/>
      <c r="AE288" s="732"/>
      <c r="AF288" s="732"/>
    </row>
    <row r="289" spans="1:35" s="109" customFormat="1" ht="18.75" customHeight="1" x14ac:dyDescent="0.2">
      <c r="A289" s="139"/>
      <c r="B289" s="123"/>
      <c r="C289" s="140"/>
      <c r="D289" s="141"/>
      <c r="E289" s="128"/>
      <c r="F289" s="141"/>
      <c r="G289" s="143"/>
      <c r="H289" s="364" t="s">
        <v>98</v>
      </c>
      <c r="I289" s="349" t="s">
        <v>383</v>
      </c>
      <c r="J289" s="350" t="s">
        <v>265</v>
      </c>
      <c r="K289" s="351"/>
      <c r="L289" s="352"/>
      <c r="M289" s="353" t="s">
        <v>383</v>
      </c>
      <c r="N289" s="350" t="s">
        <v>266</v>
      </c>
      <c r="O289" s="355"/>
      <c r="P289" s="355"/>
      <c r="Q289" s="355"/>
      <c r="R289" s="355"/>
      <c r="S289" s="355"/>
      <c r="T289" s="355"/>
      <c r="U289" s="355"/>
      <c r="V289" s="355"/>
      <c r="W289" s="355"/>
      <c r="X289" s="356"/>
      <c r="Y289" s="154"/>
      <c r="Z289" s="147"/>
      <c r="AA289" s="147"/>
      <c r="AB289" s="148"/>
      <c r="AC289" s="732"/>
      <c r="AD289" s="732"/>
      <c r="AE289" s="732"/>
      <c r="AF289" s="732"/>
      <c r="AI289" s="109" t="str">
        <f>"22:unitcare_code:" &amp; IF(I289="■",1,IF(M289="■",2,0))</f>
        <v>22:unitcare_code:0</v>
      </c>
    </row>
    <row r="290" spans="1:35" s="109" customFormat="1" ht="18.75" customHeight="1" x14ac:dyDescent="0.2">
      <c r="A290" s="139"/>
      <c r="B290" s="123"/>
      <c r="C290" s="248"/>
      <c r="D290" s="249"/>
      <c r="E290" s="128"/>
      <c r="F290" s="142"/>
      <c r="G290" s="143"/>
      <c r="H290" s="364" t="s">
        <v>107</v>
      </c>
      <c r="I290" s="349" t="s">
        <v>383</v>
      </c>
      <c r="J290" s="350" t="s">
        <v>395</v>
      </c>
      <c r="K290" s="351"/>
      <c r="L290" s="352"/>
      <c r="M290" s="353" t="s">
        <v>383</v>
      </c>
      <c r="N290" s="350" t="s">
        <v>396</v>
      </c>
      <c r="O290" s="351"/>
      <c r="P290" s="351"/>
      <c r="Q290" s="351"/>
      <c r="R290" s="351"/>
      <c r="S290" s="351"/>
      <c r="T290" s="351"/>
      <c r="U290" s="351"/>
      <c r="V290" s="351"/>
      <c r="W290" s="351"/>
      <c r="X290" s="365"/>
      <c r="Y290" s="154"/>
      <c r="Z290" s="147"/>
      <c r="AA290" s="147"/>
      <c r="AB290" s="148"/>
      <c r="AC290" s="732"/>
      <c r="AD290" s="732"/>
      <c r="AE290" s="732"/>
      <c r="AF290" s="732"/>
      <c r="AI290" s="109" t="str">
        <f>"22:sintaikousoku_code:" &amp; IF(I290="■",1,IF(M290="■",2,0))</f>
        <v>22:sintaikousoku_code:0</v>
      </c>
    </row>
    <row r="291" spans="1:35" s="109" customFormat="1" ht="19.5" customHeight="1" x14ac:dyDescent="0.2">
      <c r="A291" s="139"/>
      <c r="B291" s="123"/>
      <c r="C291" s="140"/>
      <c r="D291" s="141"/>
      <c r="E291" s="128"/>
      <c r="F291" s="142"/>
      <c r="G291" s="143"/>
      <c r="H291" s="155" t="s">
        <v>430</v>
      </c>
      <c r="I291" s="156" t="s">
        <v>383</v>
      </c>
      <c r="J291" s="157" t="s">
        <v>395</v>
      </c>
      <c r="K291" s="158"/>
      <c r="L291" s="159"/>
      <c r="M291" s="160" t="s">
        <v>383</v>
      </c>
      <c r="N291" s="157" t="s">
        <v>431</v>
      </c>
      <c r="O291" s="161"/>
      <c r="P291" s="157"/>
      <c r="Q291" s="162"/>
      <c r="R291" s="162"/>
      <c r="S291" s="162"/>
      <c r="T291" s="162"/>
      <c r="U291" s="162"/>
      <c r="V291" s="162"/>
      <c r="W291" s="162"/>
      <c r="X291" s="163"/>
      <c r="Y291" s="147"/>
      <c r="Z291" s="147"/>
      <c r="AA291" s="147"/>
      <c r="AB291" s="148"/>
      <c r="AC291" s="732"/>
      <c r="AD291" s="732"/>
      <c r="AE291" s="732"/>
      <c r="AF291" s="732"/>
      <c r="AI291" s="109" t="str">
        <f>"22:field223:" &amp; IF(I291="■",1,IF(M291="■",2,0))</f>
        <v>22:field223:0</v>
      </c>
    </row>
    <row r="292" spans="1:35" s="109" customFormat="1" ht="19.5" customHeight="1" x14ac:dyDescent="0.2">
      <c r="A292" s="139"/>
      <c r="B292" s="123"/>
      <c r="C292" s="140"/>
      <c r="D292" s="141"/>
      <c r="E292" s="128"/>
      <c r="F292" s="142"/>
      <c r="G292" s="143"/>
      <c r="H292" s="155" t="s">
        <v>448</v>
      </c>
      <c r="I292" s="156" t="s">
        <v>383</v>
      </c>
      <c r="J292" s="157" t="s">
        <v>395</v>
      </c>
      <c r="K292" s="158"/>
      <c r="L292" s="159"/>
      <c r="M292" s="160" t="s">
        <v>383</v>
      </c>
      <c r="N292" s="157" t="s">
        <v>431</v>
      </c>
      <c r="O292" s="161"/>
      <c r="P292" s="157"/>
      <c r="Q292" s="162"/>
      <c r="R292" s="162"/>
      <c r="S292" s="162"/>
      <c r="T292" s="162"/>
      <c r="U292" s="162"/>
      <c r="V292" s="162"/>
      <c r="W292" s="162"/>
      <c r="X292" s="163"/>
      <c r="Y292" s="147"/>
      <c r="Z292" s="147"/>
      <c r="AA292" s="147"/>
      <c r="AB292" s="148"/>
      <c r="AC292" s="732"/>
      <c r="AD292" s="732"/>
      <c r="AE292" s="732"/>
      <c r="AF292" s="732"/>
      <c r="AI292" s="109" t="str">
        <f>"22:field232:" &amp; IF(I292="■",1,IF(M292="■",2,0))</f>
        <v>22:field232:0</v>
      </c>
    </row>
    <row r="293" spans="1:35" s="109" customFormat="1" ht="18.75" customHeight="1" x14ac:dyDescent="0.2">
      <c r="A293" s="139"/>
      <c r="B293" s="123"/>
      <c r="C293" s="140"/>
      <c r="D293" s="141"/>
      <c r="E293" s="128"/>
      <c r="F293" s="141"/>
      <c r="G293" s="143"/>
      <c r="H293" s="242" t="s">
        <v>111</v>
      </c>
      <c r="I293" s="156" t="s">
        <v>383</v>
      </c>
      <c r="J293" s="157" t="s">
        <v>250</v>
      </c>
      <c r="K293" s="158"/>
      <c r="L293" s="160" t="s">
        <v>383</v>
      </c>
      <c r="M293" s="157" t="s">
        <v>267</v>
      </c>
      <c r="N293" s="162"/>
      <c r="O293" s="162"/>
      <c r="P293" s="162"/>
      <c r="Q293" s="162"/>
      <c r="R293" s="162"/>
      <c r="S293" s="162"/>
      <c r="T293" s="162"/>
      <c r="U293" s="162"/>
      <c r="V293" s="162"/>
      <c r="W293" s="162"/>
      <c r="X293" s="163"/>
      <c r="Y293" s="154"/>
      <c r="Z293" s="147"/>
      <c r="AA293" s="147"/>
      <c r="AB293" s="148"/>
      <c r="AC293" s="732"/>
      <c r="AD293" s="732"/>
      <c r="AE293" s="732"/>
      <c r="AF293" s="732"/>
      <c r="AI293" s="109" t="str">
        <f>"22:yakinhaiti_code:" &amp; IF(I293="■",1,IF(L293="■",2,0))</f>
        <v>22:yakinhaiti_code:0</v>
      </c>
    </row>
    <row r="294" spans="1:35" s="109" customFormat="1" ht="18.75" customHeight="1" x14ac:dyDescent="0.2">
      <c r="A294" s="125" t="s">
        <v>383</v>
      </c>
      <c r="B294" s="123">
        <v>22</v>
      </c>
      <c r="C294" s="140" t="s">
        <v>193</v>
      </c>
      <c r="D294" s="118" t="s">
        <v>383</v>
      </c>
      <c r="E294" s="128" t="s">
        <v>327</v>
      </c>
      <c r="F294" s="141"/>
      <c r="G294" s="143"/>
      <c r="H294" s="242" t="s">
        <v>100</v>
      </c>
      <c r="I294" s="156" t="s">
        <v>383</v>
      </c>
      <c r="J294" s="157" t="s">
        <v>250</v>
      </c>
      <c r="K294" s="158"/>
      <c r="L294" s="160" t="s">
        <v>383</v>
      </c>
      <c r="M294" s="157" t="s">
        <v>267</v>
      </c>
      <c r="N294" s="162"/>
      <c r="O294" s="162"/>
      <c r="P294" s="162"/>
      <c r="Q294" s="162"/>
      <c r="R294" s="162"/>
      <c r="S294" s="162"/>
      <c r="T294" s="162"/>
      <c r="U294" s="162"/>
      <c r="V294" s="162"/>
      <c r="W294" s="162"/>
      <c r="X294" s="163"/>
      <c r="Y294" s="154"/>
      <c r="Z294" s="147"/>
      <c r="AA294" s="147"/>
      <c r="AB294" s="148"/>
      <c r="AC294" s="732"/>
      <c r="AD294" s="732"/>
      <c r="AE294" s="732"/>
      <c r="AF294" s="732"/>
      <c r="AI294" s="109" t="str">
        <f>"22:ninticare_code:" &amp; IF(I294="■",1,IF(L294="■",2,0))</f>
        <v>22:ninticare_code:0</v>
      </c>
    </row>
    <row r="295" spans="1:35" s="109" customFormat="1" ht="18.75" customHeight="1" x14ac:dyDescent="0.2">
      <c r="A295" s="139"/>
      <c r="B295" s="123"/>
      <c r="C295" s="140"/>
      <c r="D295" s="141"/>
      <c r="E295" s="128"/>
      <c r="F295" s="141"/>
      <c r="G295" s="143"/>
      <c r="H295" s="242" t="s">
        <v>110</v>
      </c>
      <c r="I295" s="156" t="s">
        <v>383</v>
      </c>
      <c r="J295" s="157" t="s">
        <v>250</v>
      </c>
      <c r="K295" s="158"/>
      <c r="L295" s="160" t="s">
        <v>383</v>
      </c>
      <c r="M295" s="157" t="s">
        <v>267</v>
      </c>
      <c r="N295" s="162"/>
      <c r="O295" s="162"/>
      <c r="P295" s="162"/>
      <c r="Q295" s="162"/>
      <c r="R295" s="162"/>
      <c r="S295" s="162"/>
      <c r="T295" s="162"/>
      <c r="U295" s="162"/>
      <c r="V295" s="162"/>
      <c r="W295" s="162"/>
      <c r="X295" s="163"/>
      <c r="Y295" s="154"/>
      <c r="Z295" s="147"/>
      <c r="AA295" s="147"/>
      <c r="AB295" s="148"/>
      <c r="AC295" s="732"/>
      <c r="AD295" s="732"/>
      <c r="AE295" s="732"/>
      <c r="AF295" s="732"/>
      <c r="AI295" s="109" t="str">
        <f>"22:jyakuninti_uke_code:" &amp; IF(I295="■",1,IF(L295="■",2,0))</f>
        <v>22:jyakuninti_uke_code:0</v>
      </c>
    </row>
    <row r="296" spans="1:35" s="109" customFormat="1" ht="18.75" customHeight="1" x14ac:dyDescent="0.2">
      <c r="A296" s="139"/>
      <c r="B296" s="123"/>
      <c r="C296" s="140"/>
      <c r="D296" s="141"/>
      <c r="E296" s="128"/>
      <c r="F296" s="141"/>
      <c r="G296" s="143"/>
      <c r="H296" s="242" t="s">
        <v>95</v>
      </c>
      <c r="I296" s="156" t="s">
        <v>383</v>
      </c>
      <c r="J296" s="157" t="s">
        <v>265</v>
      </c>
      <c r="K296" s="158"/>
      <c r="L296" s="159"/>
      <c r="M296" s="160" t="s">
        <v>383</v>
      </c>
      <c r="N296" s="157" t="s">
        <v>266</v>
      </c>
      <c r="O296" s="162"/>
      <c r="P296" s="162"/>
      <c r="Q296" s="162"/>
      <c r="R296" s="162"/>
      <c r="S296" s="162"/>
      <c r="T296" s="162"/>
      <c r="U296" s="162"/>
      <c r="V296" s="162"/>
      <c r="W296" s="162"/>
      <c r="X296" s="163"/>
      <c r="Y296" s="154"/>
      <c r="Z296" s="147"/>
      <c r="AA296" s="147"/>
      <c r="AB296" s="148"/>
      <c r="AC296" s="732"/>
      <c r="AD296" s="732"/>
      <c r="AE296" s="732"/>
      <c r="AF296" s="732"/>
      <c r="AI296" s="109" t="str">
        <f>"22:sougei_code:" &amp; IF(I296="■",1,IF(M296="■",2,0))</f>
        <v>22:sougei_code:0</v>
      </c>
    </row>
    <row r="297" spans="1:35" s="109" customFormat="1" ht="19.5" customHeight="1" x14ac:dyDescent="0.2">
      <c r="A297" s="139"/>
      <c r="B297" s="123"/>
      <c r="C297" s="140"/>
      <c r="D297" s="141"/>
      <c r="E297" s="128"/>
      <c r="F297" s="142"/>
      <c r="G297" s="143"/>
      <c r="H297" s="155" t="s">
        <v>433</v>
      </c>
      <c r="I297" s="156" t="s">
        <v>383</v>
      </c>
      <c r="J297" s="157" t="s">
        <v>250</v>
      </c>
      <c r="K297" s="157"/>
      <c r="L297" s="160" t="s">
        <v>383</v>
      </c>
      <c r="M297" s="157" t="s">
        <v>267</v>
      </c>
      <c r="N297" s="157"/>
      <c r="O297" s="162"/>
      <c r="P297" s="157"/>
      <c r="Q297" s="162"/>
      <c r="R297" s="162"/>
      <c r="S297" s="162"/>
      <c r="T297" s="162"/>
      <c r="U297" s="162"/>
      <c r="V297" s="162"/>
      <c r="W297" s="162"/>
      <c r="X297" s="163"/>
      <c r="Y297" s="147"/>
      <c r="Z297" s="147"/>
      <c r="AA297" s="147"/>
      <c r="AB297" s="148"/>
      <c r="AC297" s="732"/>
      <c r="AD297" s="732"/>
      <c r="AE297" s="732"/>
      <c r="AF297" s="732"/>
      <c r="AI297" s="109" t="str">
        <f>"22:field224:" &amp; IF(I297="■",1,IF(L297="■",2,0))</f>
        <v>22:field224:0</v>
      </c>
    </row>
    <row r="298" spans="1:35" s="109" customFormat="1" ht="18.75" customHeight="1" x14ac:dyDescent="0.2">
      <c r="A298" s="139"/>
      <c r="B298" s="123"/>
      <c r="C298" s="140"/>
      <c r="D298" s="141"/>
      <c r="E298" s="128"/>
      <c r="F298" s="141"/>
      <c r="G298" s="143"/>
      <c r="H298" s="242" t="s">
        <v>112</v>
      </c>
      <c r="I298" s="156" t="s">
        <v>383</v>
      </c>
      <c r="J298" s="157" t="s">
        <v>250</v>
      </c>
      <c r="K298" s="158"/>
      <c r="L298" s="160" t="s">
        <v>383</v>
      </c>
      <c r="M298" s="157" t="s">
        <v>267</v>
      </c>
      <c r="N298" s="162"/>
      <c r="O298" s="162"/>
      <c r="P298" s="162"/>
      <c r="Q298" s="162"/>
      <c r="R298" s="162"/>
      <c r="S298" s="162"/>
      <c r="T298" s="162"/>
      <c r="U298" s="162"/>
      <c r="V298" s="162"/>
      <c r="W298" s="162"/>
      <c r="X298" s="163"/>
      <c r="Y298" s="154"/>
      <c r="Z298" s="147"/>
      <c r="AA298" s="147"/>
      <c r="AB298" s="148"/>
      <c r="AC298" s="732"/>
      <c r="AD298" s="732"/>
      <c r="AE298" s="732"/>
      <c r="AF298" s="732"/>
      <c r="AI298" s="109" t="str">
        <f>"22:ryouyoushoku_code:" &amp; IF(I298="■",1,IF(L298="■",2,0))</f>
        <v>22:ryouyoushoku_code:0</v>
      </c>
    </row>
    <row r="299" spans="1:35" s="109" customFormat="1" ht="18.75" customHeight="1" x14ac:dyDescent="0.2">
      <c r="A299" s="139"/>
      <c r="B299" s="123"/>
      <c r="C299" s="140"/>
      <c r="D299" s="141"/>
      <c r="E299" s="128"/>
      <c r="F299" s="141"/>
      <c r="G299" s="143"/>
      <c r="H299" s="242" t="s">
        <v>184</v>
      </c>
      <c r="I299" s="156" t="s">
        <v>383</v>
      </c>
      <c r="J299" s="157" t="s">
        <v>250</v>
      </c>
      <c r="K299" s="157"/>
      <c r="L299" s="160" t="s">
        <v>383</v>
      </c>
      <c r="M299" s="157" t="s">
        <v>251</v>
      </c>
      <c r="N299" s="157"/>
      <c r="O299" s="160" t="s">
        <v>383</v>
      </c>
      <c r="P299" s="157" t="s">
        <v>252</v>
      </c>
      <c r="Q299" s="162"/>
      <c r="R299" s="162"/>
      <c r="S299" s="162"/>
      <c r="T299" s="162"/>
      <c r="U299" s="162"/>
      <c r="V299" s="162"/>
      <c r="W299" s="162"/>
      <c r="X299" s="163"/>
      <c r="Y299" s="154"/>
      <c r="Z299" s="147"/>
      <c r="AA299" s="147"/>
      <c r="AB299" s="148"/>
      <c r="AC299" s="732"/>
      <c r="AD299" s="732"/>
      <c r="AE299" s="732"/>
      <c r="AF299" s="732"/>
      <c r="AI299" s="109" t="str">
        <f>"22:ninti_senmoncare_code:" &amp; IF(I299="■",1,IF(O299="■",3,IF(L299="■",2,0)))</f>
        <v>22:ninti_senmoncare_code:0</v>
      </c>
    </row>
    <row r="300" spans="1:35" s="109" customFormat="1" ht="18.75" customHeight="1" x14ac:dyDescent="0.2">
      <c r="A300" s="139"/>
      <c r="B300" s="123"/>
      <c r="C300" s="140"/>
      <c r="D300" s="141"/>
      <c r="E300" s="128"/>
      <c r="F300" s="141"/>
      <c r="G300" s="143"/>
      <c r="H300" s="250" t="s">
        <v>442</v>
      </c>
      <c r="I300" s="156" t="s">
        <v>383</v>
      </c>
      <c r="J300" s="157" t="s">
        <v>250</v>
      </c>
      <c r="K300" s="157"/>
      <c r="L300" s="160" t="s">
        <v>383</v>
      </c>
      <c r="M300" s="157" t="s">
        <v>251</v>
      </c>
      <c r="N300" s="157"/>
      <c r="O300" s="160" t="s">
        <v>383</v>
      </c>
      <c r="P300" s="157" t="s">
        <v>252</v>
      </c>
      <c r="Q300" s="162"/>
      <c r="R300" s="162"/>
      <c r="S300" s="162"/>
      <c r="T300" s="162"/>
      <c r="U300" s="251"/>
      <c r="V300" s="251"/>
      <c r="W300" s="251"/>
      <c r="X300" s="252"/>
      <c r="Y300" s="154"/>
      <c r="Z300" s="147"/>
      <c r="AA300" s="147"/>
      <c r="AB300" s="148"/>
      <c r="AC300" s="732"/>
      <c r="AD300" s="732"/>
      <c r="AE300" s="732"/>
      <c r="AF300" s="732"/>
      <c r="AI300" s="109" t="str">
        <f>"22:field225:" &amp; IF(I300="■",1,IF(L300="■",2,IF(O300="■",3,0)))</f>
        <v>22:field225:0</v>
      </c>
    </row>
    <row r="301" spans="1:35" s="109" customFormat="1" ht="22.8" customHeight="1" x14ac:dyDescent="0.2">
      <c r="A301" s="139"/>
      <c r="B301" s="123"/>
      <c r="C301" s="140"/>
      <c r="D301" s="141"/>
      <c r="E301" s="128"/>
      <c r="F301" s="141"/>
      <c r="G301" s="143"/>
      <c r="H301" s="239" t="s">
        <v>118</v>
      </c>
      <c r="I301" s="156" t="s">
        <v>383</v>
      </c>
      <c r="J301" s="157" t="s">
        <v>250</v>
      </c>
      <c r="K301" s="157"/>
      <c r="L301" s="160" t="s">
        <v>383</v>
      </c>
      <c r="M301" s="157" t="s">
        <v>258</v>
      </c>
      <c r="N301" s="157"/>
      <c r="O301" s="160" t="s">
        <v>383</v>
      </c>
      <c r="P301" s="157" t="s">
        <v>259</v>
      </c>
      <c r="Q301" s="207"/>
      <c r="R301" s="160" t="s">
        <v>383</v>
      </c>
      <c r="S301" s="157" t="s">
        <v>283</v>
      </c>
      <c r="T301" s="207"/>
      <c r="U301" s="207"/>
      <c r="V301" s="207"/>
      <c r="W301" s="207"/>
      <c r="X301" s="208"/>
      <c r="Y301" s="154"/>
      <c r="Z301" s="147"/>
      <c r="AA301" s="147"/>
      <c r="AB301" s="148"/>
      <c r="AC301" s="732"/>
      <c r="AD301" s="732"/>
      <c r="AE301" s="732"/>
      <c r="AF301" s="732"/>
      <c r="AI301" s="109" t="str">
        <f>"22:serteikyo_kyoka_code:" &amp; IF(I301="■",1,IF(L301="■",6,IF(O301="■",5,IF(R301="■",7,0))))</f>
        <v>22:serteikyo_kyoka_code:0</v>
      </c>
    </row>
    <row r="302" spans="1:35" s="109" customFormat="1" ht="18.75" customHeight="1" x14ac:dyDescent="0.2">
      <c r="A302" s="139"/>
      <c r="B302" s="123"/>
      <c r="C302" s="140"/>
      <c r="D302" s="141"/>
      <c r="E302" s="128"/>
      <c r="F302" s="141"/>
      <c r="G302" s="143"/>
      <c r="H302" s="713" t="s">
        <v>801</v>
      </c>
      <c r="I302" s="725" t="s">
        <v>383</v>
      </c>
      <c r="J302" s="726" t="s">
        <v>250</v>
      </c>
      <c r="K302" s="726"/>
      <c r="L302" s="727" t="s">
        <v>383</v>
      </c>
      <c r="M302" s="726" t="s">
        <v>267</v>
      </c>
      <c r="N302" s="726"/>
      <c r="O302" s="168"/>
      <c r="P302" s="168"/>
      <c r="Q302" s="168"/>
      <c r="R302" s="168"/>
      <c r="S302" s="168"/>
      <c r="T302" s="168"/>
      <c r="U302" s="168"/>
      <c r="V302" s="168"/>
      <c r="W302" s="168"/>
      <c r="X302" s="173"/>
      <c r="Y302" s="154"/>
      <c r="Z302" s="147"/>
      <c r="AA302" s="147"/>
      <c r="AB302" s="148"/>
      <c r="AC302" s="732"/>
      <c r="AD302" s="732"/>
      <c r="AE302" s="732"/>
      <c r="AF302" s="732"/>
      <c r="AI302" s="109" t="str">
        <f>"22:field221:" &amp; IF(I302="■",1,IF(L302="■",2,0))</f>
        <v>22:field221:0</v>
      </c>
    </row>
    <row r="303" spans="1:35" s="109" customFormat="1" ht="19.2" customHeight="1" x14ac:dyDescent="0.2">
      <c r="A303" s="139"/>
      <c r="B303" s="670"/>
      <c r="C303" s="140"/>
      <c r="D303" s="141"/>
      <c r="E303" s="128"/>
      <c r="F303" s="141"/>
      <c r="G303" s="143"/>
      <c r="H303" s="737"/>
      <c r="I303" s="725"/>
      <c r="J303" s="726"/>
      <c r="K303" s="726"/>
      <c r="L303" s="727"/>
      <c r="M303" s="726"/>
      <c r="N303" s="726"/>
      <c r="O303" s="169"/>
      <c r="P303" s="169"/>
      <c r="Q303" s="169"/>
      <c r="R303" s="169"/>
      <c r="S303" s="169"/>
      <c r="T303" s="169"/>
      <c r="U303" s="169"/>
      <c r="V303" s="169"/>
      <c r="W303" s="169"/>
      <c r="X303" s="170"/>
      <c r="Y303" s="154"/>
      <c r="Z303" s="147"/>
      <c r="AA303" s="147"/>
      <c r="AB303" s="148"/>
      <c r="AC303" s="732"/>
      <c r="AD303" s="732"/>
      <c r="AE303" s="732"/>
      <c r="AF303" s="732"/>
    </row>
    <row r="304" spans="1:35" s="621" customFormat="1" ht="18.75" customHeight="1" x14ac:dyDescent="0.2">
      <c r="A304" s="139"/>
      <c r="B304" s="670"/>
      <c r="C304" s="140"/>
      <c r="D304" s="141"/>
      <c r="E304" s="128"/>
      <c r="F304" s="141"/>
      <c r="G304" s="143"/>
      <c r="H304" s="713" t="s">
        <v>790</v>
      </c>
      <c r="I304" s="642" t="s">
        <v>383</v>
      </c>
      <c r="J304" s="616" t="s">
        <v>627</v>
      </c>
      <c r="K304" s="616"/>
      <c r="L304" s="615"/>
      <c r="M304" s="644" t="s">
        <v>383</v>
      </c>
      <c r="N304" s="616" t="s">
        <v>791</v>
      </c>
      <c r="O304" s="617"/>
      <c r="P304" s="615"/>
      <c r="Q304" s="644" t="s">
        <v>383</v>
      </c>
      <c r="R304" s="618" t="s">
        <v>802</v>
      </c>
      <c r="S304" s="615"/>
      <c r="T304" s="615"/>
      <c r="U304" s="615"/>
      <c r="V304" s="618"/>
      <c r="W304" s="619"/>
      <c r="X304" s="620"/>
      <c r="Y304" s="154"/>
      <c r="Z304" s="147"/>
      <c r="AA304" s="147"/>
      <c r="AB304" s="148"/>
      <c r="AC304" s="733"/>
      <c r="AD304" s="733"/>
      <c r="AE304" s="733"/>
      <c r="AF304" s="733"/>
    </row>
    <row r="305" spans="1:36" s="621" customFormat="1" ht="18.75" customHeight="1" x14ac:dyDescent="0.2">
      <c r="A305" s="139"/>
      <c r="B305" s="670"/>
      <c r="C305" s="140"/>
      <c r="D305" s="141"/>
      <c r="E305" s="128"/>
      <c r="F305" s="141"/>
      <c r="G305" s="143"/>
      <c r="H305" s="714"/>
      <c r="I305" s="643" t="s">
        <v>383</v>
      </c>
      <c r="J305" s="623" t="s">
        <v>803</v>
      </c>
      <c r="K305" s="623"/>
      <c r="L305" s="622"/>
      <c r="M305" s="211" t="s">
        <v>383</v>
      </c>
      <c r="N305" s="623" t="s">
        <v>804</v>
      </c>
      <c r="O305" s="624"/>
      <c r="P305" s="622"/>
      <c r="Q305" s="211" t="s">
        <v>383</v>
      </c>
      <c r="R305" s="623" t="s">
        <v>795</v>
      </c>
      <c r="S305" s="622"/>
      <c r="T305" s="623"/>
      <c r="U305" s="211" t="s">
        <v>383</v>
      </c>
      <c r="V305" s="623" t="s">
        <v>796</v>
      </c>
      <c r="W305" s="625"/>
      <c r="X305" s="626"/>
      <c r="Y305" s="154"/>
      <c r="Z305" s="147"/>
      <c r="AA305" s="147"/>
      <c r="AB305" s="148"/>
      <c r="AC305" s="733"/>
      <c r="AD305" s="733"/>
      <c r="AE305" s="733"/>
      <c r="AF305" s="733"/>
    </row>
    <row r="306" spans="1:36" s="109" customFormat="1" ht="18.75" customHeight="1" x14ac:dyDescent="0.2">
      <c r="A306" s="129"/>
      <c r="B306" s="116"/>
      <c r="C306" s="130"/>
      <c r="D306" s="131"/>
      <c r="E306" s="133"/>
      <c r="F306" s="131"/>
      <c r="G306" s="121"/>
      <c r="H306" s="740" t="s">
        <v>182</v>
      </c>
      <c r="I306" s="412" t="s">
        <v>383</v>
      </c>
      <c r="J306" s="413" t="s">
        <v>300</v>
      </c>
      <c r="K306" s="414"/>
      <c r="L306" s="415"/>
      <c r="M306" s="416" t="s">
        <v>383</v>
      </c>
      <c r="N306" s="413" t="s">
        <v>328</v>
      </c>
      <c r="O306" s="417"/>
      <c r="P306" s="417"/>
      <c r="Q306" s="416" t="s">
        <v>383</v>
      </c>
      <c r="R306" s="413" t="s">
        <v>329</v>
      </c>
      <c r="S306" s="417"/>
      <c r="T306" s="417"/>
      <c r="U306" s="416" t="s">
        <v>383</v>
      </c>
      <c r="V306" s="413" t="s">
        <v>330</v>
      </c>
      <c r="W306" s="417"/>
      <c r="X306" s="418"/>
      <c r="Y306" s="138" t="s">
        <v>383</v>
      </c>
      <c r="Z306" s="119" t="s">
        <v>249</v>
      </c>
      <c r="AA306" s="119"/>
      <c r="AB306" s="137"/>
      <c r="AC306" s="730"/>
      <c r="AD306" s="730"/>
      <c r="AE306" s="730"/>
      <c r="AF306" s="730"/>
      <c r="AG306" s="109" t="str">
        <f>"ser_code = '" &amp; IF(A317="■",23,"") &amp; "'"</f>
        <v>ser_code = ''</v>
      </c>
      <c r="AH306" s="109" t="str">
        <f>"23:jininkbn_code:" &amp; IF(F312="■",2,IF(F314="■",5,IF(F316="■",6,IF(F318="■",3,IF(F320="■",7,IF(F322="■",4,0))))))</f>
        <v>23:jininkbn_code:0</v>
      </c>
      <c r="AI306" s="109" t="str">
        <f>"23:yakan_kinmu_code:" &amp; IF(I306="■",1,IF(M306="■",2,IF(Q306="■",3,IF(U306="■",7,IF(I307="■",5,IF(M307="■",6,0))))))</f>
        <v>23:yakan_kinmu_code:0</v>
      </c>
      <c r="AJ306" s="109" t="str">
        <f>"23:field203:" &amp; IF(Y306="■",1,IF(Y307="■",2,0))</f>
        <v>23:field203:0</v>
      </c>
    </row>
    <row r="307" spans="1:36" s="109" customFormat="1" ht="18.75" customHeight="1" x14ac:dyDescent="0.2">
      <c r="A307" s="139"/>
      <c r="B307" s="123"/>
      <c r="C307" s="140"/>
      <c r="D307" s="141"/>
      <c r="E307" s="143"/>
      <c r="F307" s="141"/>
      <c r="G307" s="128"/>
      <c r="H307" s="739"/>
      <c r="I307" s="380" t="s">
        <v>383</v>
      </c>
      <c r="J307" s="381" t="s">
        <v>331</v>
      </c>
      <c r="K307" s="419"/>
      <c r="L307" s="382"/>
      <c r="M307" s="383" t="s">
        <v>383</v>
      </c>
      <c r="N307" s="381" t="s">
        <v>301</v>
      </c>
      <c r="O307" s="384"/>
      <c r="P307" s="384"/>
      <c r="Q307" s="384"/>
      <c r="R307" s="384"/>
      <c r="S307" s="384"/>
      <c r="T307" s="384"/>
      <c r="U307" s="384"/>
      <c r="V307" s="384"/>
      <c r="W307" s="384"/>
      <c r="X307" s="385"/>
      <c r="Y307" s="118" t="s">
        <v>383</v>
      </c>
      <c r="Z307" s="126" t="s">
        <v>255</v>
      </c>
      <c r="AA307" s="147"/>
      <c r="AB307" s="148"/>
      <c r="AC307" s="731"/>
      <c r="AD307" s="731"/>
      <c r="AE307" s="731"/>
      <c r="AF307" s="731"/>
      <c r="AG307" s="109" t="str">
        <f>"23:sisetukbn_code:" &amp; IF(D317="■",1,0)</f>
        <v>23:sisetukbn_code:0</v>
      </c>
    </row>
    <row r="308" spans="1:36" s="109" customFormat="1" ht="18.75" customHeight="1" x14ac:dyDescent="0.2">
      <c r="A308" s="139"/>
      <c r="B308" s="123"/>
      <c r="C308" s="140"/>
      <c r="D308" s="141"/>
      <c r="E308" s="143"/>
      <c r="F308" s="141"/>
      <c r="G308" s="128"/>
      <c r="H308" s="364" t="s">
        <v>93</v>
      </c>
      <c r="I308" s="349" t="s">
        <v>383</v>
      </c>
      <c r="J308" s="350" t="s">
        <v>250</v>
      </c>
      <c r="K308" s="350"/>
      <c r="L308" s="352"/>
      <c r="M308" s="353" t="s">
        <v>383</v>
      </c>
      <c r="N308" s="350" t="s">
        <v>289</v>
      </c>
      <c r="O308" s="350"/>
      <c r="P308" s="352"/>
      <c r="Q308" s="353" t="s">
        <v>383</v>
      </c>
      <c r="R308" s="420" t="s">
        <v>290</v>
      </c>
      <c r="S308" s="420"/>
      <c r="T308" s="420"/>
      <c r="U308" s="353" t="s">
        <v>383</v>
      </c>
      <c r="V308" s="420" t="s">
        <v>291</v>
      </c>
      <c r="W308" s="355"/>
      <c r="X308" s="356"/>
      <c r="Y308" s="154"/>
      <c r="Z308" s="147"/>
      <c r="AA308" s="147"/>
      <c r="AB308" s="148"/>
      <c r="AC308" s="732"/>
      <c r="AD308" s="732"/>
      <c r="AE308" s="732"/>
      <c r="AF308" s="732"/>
      <c r="AI308" s="109" t="str">
        <f>"23:"&amp;IF(AND(I308="□",M308="□",Q308="□",U308="□"),"ketu_doctor_code:0",IF(I308="■","ketu_doctor_code:1:ketu_kangos_code:1:ketu_kshoku_code:1",
IF(M308="■","ketu_doctor_code:2","ketu_doctor_code:1")
&amp;IF(Q308="■",":ketu_kangos_code:2",":ketu_kangos_code:1")
&amp;IF(U308="■",":ketu_kshoku_code:2",":ketu_kshoku_code:1")))</f>
        <v>23:ketu_doctor_code:0</v>
      </c>
    </row>
    <row r="309" spans="1:36" s="109" customFormat="1" ht="18.75" customHeight="1" x14ac:dyDescent="0.2">
      <c r="A309" s="139"/>
      <c r="B309" s="123"/>
      <c r="C309" s="248"/>
      <c r="D309" s="249"/>
      <c r="E309" s="128"/>
      <c r="F309" s="142"/>
      <c r="G309" s="143"/>
      <c r="H309" s="364" t="s">
        <v>107</v>
      </c>
      <c r="I309" s="349" t="s">
        <v>383</v>
      </c>
      <c r="J309" s="350" t="s">
        <v>395</v>
      </c>
      <c r="K309" s="351"/>
      <c r="L309" s="352"/>
      <c r="M309" s="353" t="s">
        <v>383</v>
      </c>
      <c r="N309" s="350" t="s">
        <v>396</v>
      </c>
      <c r="O309" s="351"/>
      <c r="P309" s="351"/>
      <c r="Q309" s="351"/>
      <c r="R309" s="351"/>
      <c r="S309" s="351"/>
      <c r="T309" s="351"/>
      <c r="U309" s="351"/>
      <c r="V309" s="351"/>
      <c r="W309" s="351"/>
      <c r="X309" s="365"/>
      <c r="Y309" s="154"/>
      <c r="Z309" s="147"/>
      <c r="AA309" s="147"/>
      <c r="AB309" s="148"/>
      <c r="AC309" s="732"/>
      <c r="AD309" s="732"/>
      <c r="AE309" s="732"/>
      <c r="AF309" s="732"/>
      <c r="AI309" s="109" t="str">
        <f>"23:sintaikousoku_code:" &amp; IF(I309="■",1,IF(M309="■",2,0))</f>
        <v>23:sintaikousoku_code:0</v>
      </c>
    </row>
    <row r="310" spans="1:36" s="109" customFormat="1" ht="19.5" customHeight="1" x14ac:dyDescent="0.2">
      <c r="A310" s="139"/>
      <c r="B310" s="123"/>
      <c r="C310" s="140"/>
      <c r="D310" s="141"/>
      <c r="E310" s="128"/>
      <c r="F310" s="142"/>
      <c r="G310" s="143"/>
      <c r="H310" s="155" t="s">
        <v>430</v>
      </c>
      <c r="I310" s="156" t="s">
        <v>383</v>
      </c>
      <c r="J310" s="157" t="s">
        <v>395</v>
      </c>
      <c r="K310" s="158"/>
      <c r="L310" s="159"/>
      <c r="M310" s="160" t="s">
        <v>383</v>
      </c>
      <c r="N310" s="157" t="s">
        <v>431</v>
      </c>
      <c r="O310" s="161"/>
      <c r="P310" s="157"/>
      <c r="Q310" s="162"/>
      <c r="R310" s="162"/>
      <c r="S310" s="162"/>
      <c r="T310" s="162"/>
      <c r="U310" s="162"/>
      <c r="V310" s="162"/>
      <c r="W310" s="162"/>
      <c r="X310" s="163"/>
      <c r="Y310" s="147"/>
      <c r="Z310" s="147"/>
      <c r="AA310" s="147"/>
      <c r="AB310" s="148"/>
      <c r="AC310" s="732"/>
      <c r="AD310" s="732"/>
      <c r="AE310" s="732"/>
      <c r="AF310" s="732"/>
      <c r="AI310" s="109" t="str">
        <f>"23:field223:" &amp; IF(I310="■",1,IF(M310="■",2,0))</f>
        <v>23:field223:0</v>
      </c>
    </row>
    <row r="311" spans="1:36" s="109" customFormat="1" ht="19.5" customHeight="1" x14ac:dyDescent="0.2">
      <c r="A311" s="139"/>
      <c r="B311" s="123"/>
      <c r="C311" s="140"/>
      <c r="D311" s="141"/>
      <c r="E311" s="128"/>
      <c r="F311" s="142"/>
      <c r="G311" s="143"/>
      <c r="H311" s="155" t="s">
        <v>448</v>
      </c>
      <c r="I311" s="156" t="s">
        <v>383</v>
      </c>
      <c r="J311" s="157" t="s">
        <v>395</v>
      </c>
      <c r="K311" s="158"/>
      <c r="L311" s="159"/>
      <c r="M311" s="160" t="s">
        <v>383</v>
      </c>
      <c r="N311" s="157" t="s">
        <v>431</v>
      </c>
      <c r="O311" s="161"/>
      <c r="P311" s="157"/>
      <c r="Q311" s="162"/>
      <c r="R311" s="162"/>
      <c r="S311" s="162"/>
      <c r="T311" s="162"/>
      <c r="U311" s="162"/>
      <c r="V311" s="162"/>
      <c r="W311" s="162"/>
      <c r="X311" s="163"/>
      <c r="Y311" s="147"/>
      <c r="Z311" s="147"/>
      <c r="AA311" s="147"/>
      <c r="AB311" s="148"/>
      <c r="AC311" s="732"/>
      <c r="AD311" s="732"/>
      <c r="AE311" s="732"/>
      <c r="AF311" s="732"/>
      <c r="AI311" s="109" t="str">
        <f>"23:field232:" &amp; IF(I311="■",1,IF(M311="■",2,0))</f>
        <v>23:field232:0</v>
      </c>
    </row>
    <row r="312" spans="1:36" s="109" customFormat="1" ht="18.75" customHeight="1" x14ac:dyDescent="0.2">
      <c r="A312" s="139"/>
      <c r="B312" s="123"/>
      <c r="C312" s="140"/>
      <c r="D312" s="141"/>
      <c r="E312" s="143"/>
      <c r="F312" s="118" t="s">
        <v>383</v>
      </c>
      <c r="G312" s="128" t="s">
        <v>340</v>
      </c>
      <c r="H312" s="242" t="s">
        <v>194</v>
      </c>
      <c r="I312" s="156" t="s">
        <v>383</v>
      </c>
      <c r="J312" s="157" t="s">
        <v>300</v>
      </c>
      <c r="K312" s="158"/>
      <c r="L312" s="159"/>
      <c r="M312" s="160" t="s">
        <v>383</v>
      </c>
      <c r="N312" s="157" t="s">
        <v>332</v>
      </c>
      <c r="O312" s="207"/>
      <c r="P312" s="207"/>
      <c r="Q312" s="207"/>
      <c r="R312" s="207"/>
      <c r="S312" s="207"/>
      <c r="T312" s="207"/>
      <c r="U312" s="207"/>
      <c r="V312" s="207"/>
      <c r="W312" s="207"/>
      <c r="X312" s="208"/>
      <c r="Y312" s="154"/>
      <c r="Z312" s="147"/>
      <c r="AA312" s="147"/>
      <c r="AB312" s="148"/>
      <c r="AC312" s="732"/>
      <c r="AD312" s="732"/>
      <c r="AE312" s="732"/>
      <c r="AF312" s="732"/>
      <c r="AI312" s="109" t="str">
        <f>"23:ryokan_code:" &amp; IF(I312="■",1,IF(M312="■",2,0))</f>
        <v>23:ryokan_code:0</v>
      </c>
    </row>
    <row r="313" spans="1:36" s="109" customFormat="1" ht="18.75" customHeight="1" x14ac:dyDescent="0.2">
      <c r="A313" s="139"/>
      <c r="B313" s="123"/>
      <c r="C313" s="140"/>
      <c r="D313" s="141"/>
      <c r="E313" s="143"/>
      <c r="F313" s="141"/>
      <c r="G313" s="128" t="s">
        <v>341</v>
      </c>
      <c r="H313" s="242" t="s">
        <v>101</v>
      </c>
      <c r="I313" s="156" t="s">
        <v>383</v>
      </c>
      <c r="J313" s="157" t="s">
        <v>428</v>
      </c>
      <c r="K313" s="158"/>
      <c r="L313" s="159"/>
      <c r="M313" s="160" t="s">
        <v>383</v>
      </c>
      <c r="N313" s="157" t="s">
        <v>333</v>
      </c>
      <c r="O313" s="162"/>
      <c r="P313" s="162"/>
      <c r="Q313" s="162"/>
      <c r="R313" s="207"/>
      <c r="S313" s="162"/>
      <c r="T313" s="162"/>
      <c r="U313" s="162"/>
      <c r="V313" s="162"/>
      <c r="W313" s="162"/>
      <c r="X313" s="163"/>
      <c r="Y313" s="154"/>
      <c r="Z313" s="147"/>
      <c r="AA313" s="147"/>
      <c r="AB313" s="148"/>
      <c r="AC313" s="732"/>
      <c r="AD313" s="732"/>
      <c r="AE313" s="732"/>
      <c r="AF313" s="732"/>
      <c r="AI313" s="109" t="str">
        <f>"23:doctor_haiti_code:" &amp; IF(I313="■",1,IF(M313="■",2,0))</f>
        <v>23:doctor_haiti_code:0</v>
      </c>
    </row>
    <row r="314" spans="1:36" s="109" customFormat="1" ht="18.75" customHeight="1" x14ac:dyDescent="0.2">
      <c r="A314" s="139"/>
      <c r="B314" s="123"/>
      <c r="C314" s="140"/>
      <c r="D314" s="141"/>
      <c r="E314" s="143"/>
      <c r="F314" s="118" t="s">
        <v>383</v>
      </c>
      <c r="G314" s="128" t="s">
        <v>342</v>
      </c>
      <c r="H314" s="242" t="s">
        <v>110</v>
      </c>
      <c r="I314" s="156" t="s">
        <v>383</v>
      </c>
      <c r="J314" s="157" t="s">
        <v>250</v>
      </c>
      <c r="K314" s="158"/>
      <c r="L314" s="160" t="s">
        <v>383</v>
      </c>
      <c r="M314" s="157" t="s">
        <v>267</v>
      </c>
      <c r="N314" s="162"/>
      <c r="O314" s="162"/>
      <c r="P314" s="162"/>
      <c r="Q314" s="162"/>
      <c r="R314" s="162"/>
      <c r="S314" s="162"/>
      <c r="T314" s="162"/>
      <c r="U314" s="162"/>
      <c r="V314" s="162"/>
      <c r="W314" s="162"/>
      <c r="X314" s="163"/>
      <c r="Y314" s="154"/>
      <c r="Z314" s="147"/>
      <c r="AA314" s="147"/>
      <c r="AB314" s="148"/>
      <c r="AC314" s="732"/>
      <c r="AD314" s="732"/>
      <c r="AE314" s="732"/>
      <c r="AF314" s="732"/>
      <c r="AI314" s="109" t="str">
        <f>"23:jyakuninti_uke_code:" &amp; IF(I314="■",1,IF(L314="■",2,0))</f>
        <v>23:jyakuninti_uke_code:0</v>
      </c>
    </row>
    <row r="315" spans="1:36" s="109" customFormat="1" ht="18.75" customHeight="1" x14ac:dyDescent="0.2">
      <c r="A315" s="139"/>
      <c r="B315" s="123"/>
      <c r="C315" s="140"/>
      <c r="D315" s="141"/>
      <c r="E315" s="128"/>
      <c r="F315" s="141"/>
      <c r="G315" s="128" t="s">
        <v>343</v>
      </c>
      <c r="H315" s="242" t="s">
        <v>95</v>
      </c>
      <c r="I315" s="156" t="s">
        <v>383</v>
      </c>
      <c r="J315" s="157" t="s">
        <v>265</v>
      </c>
      <c r="K315" s="158"/>
      <c r="L315" s="159"/>
      <c r="M315" s="160" t="s">
        <v>383</v>
      </c>
      <c r="N315" s="157" t="s">
        <v>266</v>
      </c>
      <c r="O315" s="162"/>
      <c r="P315" s="162"/>
      <c r="Q315" s="162"/>
      <c r="R315" s="162"/>
      <c r="S315" s="162"/>
      <c r="T315" s="162"/>
      <c r="U315" s="162"/>
      <c r="V315" s="162"/>
      <c r="W315" s="162"/>
      <c r="X315" s="163"/>
      <c r="Y315" s="154"/>
      <c r="Z315" s="147"/>
      <c r="AA315" s="147"/>
      <c r="AB315" s="148"/>
      <c r="AC315" s="732"/>
      <c r="AD315" s="732"/>
      <c r="AE315" s="732"/>
      <c r="AF315" s="732"/>
      <c r="AI315" s="109" t="str">
        <f>"23:sougei_code:" &amp; IF(I315="■",1,IF(M315="■",2,0))</f>
        <v>23:sougei_code:0</v>
      </c>
    </row>
    <row r="316" spans="1:36" s="109" customFormat="1" ht="19.5" customHeight="1" x14ac:dyDescent="0.2">
      <c r="A316" s="139"/>
      <c r="B316" s="123"/>
      <c r="C316" s="140"/>
      <c r="D316" s="141"/>
      <c r="E316" s="143"/>
      <c r="F316" s="118" t="s">
        <v>383</v>
      </c>
      <c r="G316" s="128" t="s">
        <v>344</v>
      </c>
      <c r="H316" s="155" t="s">
        <v>433</v>
      </c>
      <c r="I316" s="156" t="s">
        <v>383</v>
      </c>
      <c r="J316" s="157" t="s">
        <v>250</v>
      </c>
      <c r="K316" s="157"/>
      <c r="L316" s="160" t="s">
        <v>383</v>
      </c>
      <c r="M316" s="157" t="s">
        <v>267</v>
      </c>
      <c r="N316" s="157"/>
      <c r="O316" s="162"/>
      <c r="P316" s="157"/>
      <c r="Q316" s="162"/>
      <c r="R316" s="162"/>
      <c r="S316" s="162"/>
      <c r="T316" s="162"/>
      <c r="U316" s="162"/>
      <c r="V316" s="162"/>
      <c r="W316" s="162"/>
      <c r="X316" s="163"/>
      <c r="Y316" s="147"/>
      <c r="Z316" s="147"/>
      <c r="AA316" s="147"/>
      <c r="AB316" s="148"/>
      <c r="AC316" s="732"/>
      <c r="AD316" s="732"/>
      <c r="AE316" s="732"/>
      <c r="AF316" s="732"/>
      <c r="AI316" s="109" t="str">
        <f>"23:field224:" &amp; IF(I316="■",1,IF(L316="■",2,0))</f>
        <v>23:field224:0</v>
      </c>
    </row>
    <row r="317" spans="1:36" s="109" customFormat="1" ht="18.75" customHeight="1" x14ac:dyDescent="0.2">
      <c r="A317" s="125" t="s">
        <v>383</v>
      </c>
      <c r="B317" s="123">
        <v>23</v>
      </c>
      <c r="C317" s="140" t="s">
        <v>193</v>
      </c>
      <c r="D317" s="118" t="s">
        <v>383</v>
      </c>
      <c r="E317" s="143" t="s">
        <v>350</v>
      </c>
      <c r="F317" s="141"/>
      <c r="G317" s="128" t="s">
        <v>345</v>
      </c>
      <c r="H317" s="242" t="s">
        <v>112</v>
      </c>
      <c r="I317" s="156" t="s">
        <v>383</v>
      </c>
      <c r="J317" s="157" t="s">
        <v>250</v>
      </c>
      <c r="K317" s="158"/>
      <c r="L317" s="160" t="s">
        <v>383</v>
      </c>
      <c r="M317" s="157" t="s">
        <v>267</v>
      </c>
      <c r="N317" s="162"/>
      <c r="O317" s="162"/>
      <c r="P317" s="162"/>
      <c r="Q317" s="162"/>
      <c r="R317" s="162"/>
      <c r="S317" s="162"/>
      <c r="T317" s="162"/>
      <c r="U317" s="162"/>
      <c r="V317" s="162"/>
      <c r="W317" s="162"/>
      <c r="X317" s="163"/>
      <c r="Y317" s="154"/>
      <c r="Z317" s="147"/>
      <c r="AA317" s="147"/>
      <c r="AB317" s="148"/>
      <c r="AC317" s="732"/>
      <c r="AD317" s="732"/>
      <c r="AE317" s="732"/>
      <c r="AF317" s="732"/>
      <c r="AI317" s="109" t="str">
        <f>"23:ryouyoushoku_code:" &amp; IF(I317="■",1,IF(L317="■",2,0))</f>
        <v>23:ryouyoushoku_code:0</v>
      </c>
    </row>
    <row r="318" spans="1:36" s="109" customFormat="1" ht="18.75" customHeight="1" x14ac:dyDescent="0.2">
      <c r="A318" s="139"/>
      <c r="B318" s="123"/>
      <c r="C318" s="140"/>
      <c r="D318" s="171"/>
      <c r="E318" s="143"/>
      <c r="F318" s="118" t="s">
        <v>383</v>
      </c>
      <c r="G318" s="128" t="s">
        <v>346</v>
      </c>
      <c r="H318" s="242" t="s">
        <v>184</v>
      </c>
      <c r="I318" s="156" t="s">
        <v>383</v>
      </c>
      <c r="J318" s="157" t="s">
        <v>250</v>
      </c>
      <c r="K318" s="157"/>
      <c r="L318" s="160" t="s">
        <v>383</v>
      </c>
      <c r="M318" s="157" t="s">
        <v>251</v>
      </c>
      <c r="N318" s="157"/>
      <c r="O318" s="160" t="s">
        <v>383</v>
      </c>
      <c r="P318" s="157" t="s">
        <v>252</v>
      </c>
      <c r="Q318" s="162"/>
      <c r="R318" s="162"/>
      <c r="S318" s="162"/>
      <c r="T318" s="162"/>
      <c r="U318" s="162"/>
      <c r="V318" s="162"/>
      <c r="W318" s="162"/>
      <c r="X318" s="163"/>
      <c r="Y318" s="154"/>
      <c r="Z318" s="147"/>
      <c r="AA318" s="147"/>
      <c r="AB318" s="148"/>
      <c r="AC318" s="732"/>
      <c r="AD318" s="732"/>
      <c r="AE318" s="732"/>
      <c r="AF318" s="732"/>
      <c r="AI318" s="109" t="str">
        <f>"23:ninti_senmoncare_code:" &amp; IF(I318="■",1,IF(O318="■",3,IF(L318="■",2,0)))</f>
        <v>23:ninti_senmoncare_code:0</v>
      </c>
    </row>
    <row r="319" spans="1:36" s="109" customFormat="1" ht="18.75" customHeight="1" x14ac:dyDescent="0.2">
      <c r="A319" s="139"/>
      <c r="B319" s="123"/>
      <c r="C319" s="140"/>
      <c r="D319" s="141"/>
      <c r="E319" s="143"/>
      <c r="F319" s="141"/>
      <c r="G319" s="128" t="s">
        <v>341</v>
      </c>
      <c r="H319" s="250" t="s">
        <v>442</v>
      </c>
      <c r="I319" s="156" t="s">
        <v>383</v>
      </c>
      <c r="J319" s="157" t="s">
        <v>250</v>
      </c>
      <c r="K319" s="157"/>
      <c r="L319" s="160" t="s">
        <v>383</v>
      </c>
      <c r="M319" s="157" t="s">
        <v>251</v>
      </c>
      <c r="N319" s="157"/>
      <c r="O319" s="160" t="s">
        <v>383</v>
      </c>
      <c r="P319" s="157" t="s">
        <v>252</v>
      </c>
      <c r="Q319" s="162"/>
      <c r="R319" s="162"/>
      <c r="S319" s="162"/>
      <c r="T319" s="162"/>
      <c r="U319" s="251"/>
      <c r="V319" s="251"/>
      <c r="W319" s="251"/>
      <c r="X319" s="252"/>
      <c r="Y319" s="154"/>
      <c r="Z319" s="147"/>
      <c r="AA319" s="147"/>
      <c r="AB319" s="148"/>
      <c r="AC319" s="732"/>
      <c r="AD319" s="732"/>
      <c r="AE319" s="732"/>
      <c r="AF319" s="732"/>
      <c r="AI319" s="109" t="str">
        <f>"23:field225:" &amp; IF(I319="■",1,IF(L319="■",2,IF(O319="■",3,0)))</f>
        <v>23:field225:0</v>
      </c>
    </row>
    <row r="320" spans="1:36" s="109" customFormat="1" ht="18.75" customHeight="1" x14ac:dyDescent="0.2">
      <c r="A320" s="139"/>
      <c r="B320" s="123"/>
      <c r="C320" s="140"/>
      <c r="D320" s="141"/>
      <c r="E320" s="143"/>
      <c r="F320" s="118" t="s">
        <v>383</v>
      </c>
      <c r="G320" s="128" t="s">
        <v>347</v>
      </c>
      <c r="H320" s="741" t="s">
        <v>102</v>
      </c>
      <c r="I320" s="175" t="s">
        <v>383</v>
      </c>
      <c r="J320" s="168" t="s">
        <v>320</v>
      </c>
      <c r="K320" s="168"/>
      <c r="L320" s="251"/>
      <c r="M320" s="251"/>
      <c r="N320" s="251"/>
      <c r="O320" s="251"/>
      <c r="P320" s="206" t="s">
        <v>383</v>
      </c>
      <c r="Q320" s="168" t="s">
        <v>321</v>
      </c>
      <c r="R320" s="251"/>
      <c r="S320" s="251"/>
      <c r="T320" s="251"/>
      <c r="U320" s="251"/>
      <c r="V320" s="251"/>
      <c r="W320" s="251"/>
      <c r="X320" s="252"/>
      <c r="Y320" s="154"/>
      <c r="Z320" s="147"/>
      <c r="AA320" s="147"/>
      <c r="AB320" s="148"/>
      <c r="AC320" s="732"/>
      <c r="AD320" s="732"/>
      <c r="AE320" s="732"/>
      <c r="AF320" s="732"/>
      <c r="AI320" s="109" t="str">
        <f>"23:" &amp; IF(AND(I320="□",P320="□",I321="□"),"tokusin_jyusho_code:0:tokusin_yakuzai_code:0:shuudan_comu_code:0",IF(I320="■","tokusin_jyusho_code:2","tokusin_jyusho_code:1")
&amp;IF(P320="■",":tokusin_yakuzai_code:2",":tokusin_yakuzai_code:1")
&amp;IF(I321="■",":shuudan_comu_code:2",":shuudan_comu_code:1"))</f>
        <v>23:tokusin_jyusho_code:0:tokusin_yakuzai_code:0:shuudan_comu_code:0</v>
      </c>
    </row>
    <row r="321" spans="1:36" s="109" customFormat="1" ht="18.75" customHeight="1" x14ac:dyDescent="0.2">
      <c r="A321" s="139"/>
      <c r="B321" s="123"/>
      <c r="C321" s="140"/>
      <c r="D321" s="141"/>
      <c r="E321" s="143"/>
      <c r="F321" s="141"/>
      <c r="G321" s="128" t="s">
        <v>348</v>
      </c>
      <c r="H321" s="742"/>
      <c r="I321" s="150" t="s">
        <v>383</v>
      </c>
      <c r="J321" s="169" t="s">
        <v>334</v>
      </c>
      <c r="K321" s="152"/>
      <c r="L321" s="152"/>
      <c r="M321" s="152"/>
      <c r="N321" s="152"/>
      <c r="O321" s="152"/>
      <c r="P321" s="152"/>
      <c r="Q321" s="151"/>
      <c r="R321" s="152"/>
      <c r="S321" s="152"/>
      <c r="T321" s="152"/>
      <c r="U321" s="152"/>
      <c r="V321" s="152"/>
      <c r="W321" s="152"/>
      <c r="X321" s="153"/>
      <c r="Y321" s="154"/>
      <c r="Z321" s="147"/>
      <c r="AA321" s="147"/>
      <c r="AB321" s="148"/>
      <c r="AC321" s="732"/>
      <c r="AD321" s="732"/>
      <c r="AE321" s="732"/>
      <c r="AF321" s="732"/>
    </row>
    <row r="322" spans="1:36" s="109" customFormat="1" ht="18.75" customHeight="1" x14ac:dyDescent="0.2">
      <c r="A322" s="139"/>
      <c r="B322" s="123"/>
      <c r="C322" s="140"/>
      <c r="D322" s="141"/>
      <c r="E322" s="143"/>
      <c r="F322" s="118" t="s">
        <v>383</v>
      </c>
      <c r="G322" s="128" t="s">
        <v>349</v>
      </c>
      <c r="H322" s="741" t="s">
        <v>443</v>
      </c>
      <c r="I322" s="175" t="s">
        <v>383</v>
      </c>
      <c r="J322" s="168" t="s">
        <v>335</v>
      </c>
      <c r="K322" s="181"/>
      <c r="L322" s="214"/>
      <c r="M322" s="206" t="s">
        <v>383</v>
      </c>
      <c r="N322" s="168" t="s">
        <v>336</v>
      </c>
      <c r="O322" s="251"/>
      <c r="P322" s="251"/>
      <c r="Q322" s="206" t="s">
        <v>383</v>
      </c>
      <c r="R322" s="168" t="s">
        <v>337</v>
      </c>
      <c r="S322" s="251"/>
      <c r="T322" s="251"/>
      <c r="U322" s="251"/>
      <c r="V322" s="251"/>
      <c r="W322" s="251"/>
      <c r="X322" s="252"/>
      <c r="Y322" s="154"/>
      <c r="Z322" s="147"/>
      <c r="AA322" s="147"/>
      <c r="AB322" s="148"/>
      <c r="AC322" s="732"/>
      <c r="AD322" s="732"/>
      <c r="AE322" s="732"/>
      <c r="AF322" s="732"/>
      <c r="AI322" s="109" t="str">
        <f>"23:"&amp;IF(AND(I322="□",M322="□",Q322="□",I323="□",Q323="□"),"koriha_rryoho1_code:0:koriha_sryoho_code:0:koriha_gengo_code:0:riha_seisin_code:0:koriha_other_code:0",IF(I322="■","koriha_rryoho1_code:2","koriha_rryoho1_code:1")
&amp;IF(M322="■",":koriha_sryoho_code:2",":koriha_sryoho_code:1")
&amp;IF(Q322="■",":koriha_gengo_code:2",":koriha_gengo_code:1")
&amp;IF(I323="■",":riha_seisin_code:2",":riha_seisin_code:1")
&amp;IF(Q323="■",":koriha_other_code:2",":koriha_other_code:1"))</f>
        <v>23:koriha_rryoho1_code:0:koriha_sryoho_code:0:koriha_gengo_code:0:riha_seisin_code:0:koriha_other_code:0</v>
      </c>
    </row>
    <row r="323" spans="1:36" s="109" customFormat="1" ht="18.75" customHeight="1" x14ac:dyDescent="0.2">
      <c r="A323" s="139"/>
      <c r="B323" s="123"/>
      <c r="C323" s="140"/>
      <c r="D323" s="141"/>
      <c r="E323" s="143"/>
      <c r="F323" s="142"/>
      <c r="G323" s="128"/>
      <c r="H323" s="742"/>
      <c r="I323" s="150" t="s">
        <v>383</v>
      </c>
      <c r="J323" s="169" t="s">
        <v>338</v>
      </c>
      <c r="K323" s="152"/>
      <c r="L323" s="152"/>
      <c r="M323" s="152"/>
      <c r="N323" s="152"/>
      <c r="O323" s="152"/>
      <c r="P323" s="152"/>
      <c r="Q323" s="203" t="s">
        <v>383</v>
      </c>
      <c r="R323" s="169" t="s">
        <v>339</v>
      </c>
      <c r="S323" s="151"/>
      <c r="T323" s="152"/>
      <c r="U323" s="152"/>
      <c r="V323" s="152"/>
      <c r="W323" s="152"/>
      <c r="X323" s="153"/>
      <c r="Y323" s="154"/>
      <c r="Z323" s="147"/>
      <c r="AA323" s="147"/>
      <c r="AB323" s="148"/>
      <c r="AC323" s="732"/>
      <c r="AD323" s="732"/>
      <c r="AE323" s="732"/>
      <c r="AF323" s="732"/>
    </row>
    <row r="324" spans="1:36" s="109" customFormat="1" ht="18.75" customHeight="1" x14ac:dyDescent="0.2">
      <c r="A324" s="139"/>
      <c r="B324" s="123"/>
      <c r="C324" s="140"/>
      <c r="D324" s="141"/>
      <c r="E324" s="143"/>
      <c r="F324" s="142"/>
      <c r="G324" s="128"/>
      <c r="H324" s="239" t="s">
        <v>118</v>
      </c>
      <c r="I324" s="156" t="s">
        <v>383</v>
      </c>
      <c r="J324" s="157" t="s">
        <v>250</v>
      </c>
      <c r="K324" s="157"/>
      <c r="L324" s="160" t="s">
        <v>383</v>
      </c>
      <c r="M324" s="157" t="s">
        <v>258</v>
      </c>
      <c r="N324" s="157"/>
      <c r="O324" s="160" t="s">
        <v>383</v>
      </c>
      <c r="P324" s="157" t="s">
        <v>259</v>
      </c>
      <c r="Q324" s="207"/>
      <c r="R324" s="160" t="s">
        <v>383</v>
      </c>
      <c r="S324" s="157" t="s">
        <v>283</v>
      </c>
      <c r="T324" s="207"/>
      <c r="U324" s="207"/>
      <c r="V324" s="207"/>
      <c r="W324" s="207"/>
      <c r="X324" s="208"/>
      <c r="Y324" s="154"/>
      <c r="Z324" s="147"/>
      <c r="AA324" s="147"/>
      <c r="AB324" s="148"/>
      <c r="AC324" s="732"/>
      <c r="AD324" s="732"/>
      <c r="AE324" s="732"/>
      <c r="AF324" s="732"/>
      <c r="AI324" s="109" t="str">
        <f>"23:serteikyo_kyoka_code:" &amp; IF(I324="■",1,IF(L324="■",6,IF(O324="■",5,IF(R324="■",7,0))))</f>
        <v>23:serteikyo_kyoka_code:0</v>
      </c>
    </row>
    <row r="325" spans="1:36" s="109" customFormat="1" ht="18.75" customHeight="1" x14ac:dyDescent="0.2">
      <c r="A325" s="139"/>
      <c r="B325" s="123"/>
      <c r="C325" s="140"/>
      <c r="D325" s="141"/>
      <c r="E325" s="143"/>
      <c r="F325" s="142"/>
      <c r="G325" s="128"/>
      <c r="H325" s="713" t="s">
        <v>801</v>
      </c>
      <c r="I325" s="725" t="s">
        <v>383</v>
      </c>
      <c r="J325" s="726" t="s">
        <v>250</v>
      </c>
      <c r="K325" s="726"/>
      <c r="L325" s="727" t="s">
        <v>383</v>
      </c>
      <c r="M325" s="726" t="s">
        <v>267</v>
      </c>
      <c r="N325" s="726"/>
      <c r="O325" s="168"/>
      <c r="P325" s="168"/>
      <c r="Q325" s="168"/>
      <c r="R325" s="168"/>
      <c r="S325" s="168"/>
      <c r="T325" s="168"/>
      <c r="U325" s="168"/>
      <c r="V325" s="168"/>
      <c r="W325" s="168"/>
      <c r="X325" s="173"/>
      <c r="Y325" s="154"/>
      <c r="Z325" s="147"/>
      <c r="AA325" s="147"/>
      <c r="AB325" s="148"/>
      <c r="AC325" s="732"/>
      <c r="AD325" s="732"/>
      <c r="AE325" s="732"/>
      <c r="AF325" s="732"/>
      <c r="AI325" s="109" t="str">
        <f>"23:field221:" &amp; IF(I325="■",1,IF(L325="■",2,0))</f>
        <v>23:field221:0</v>
      </c>
    </row>
    <row r="326" spans="1:36" s="109" customFormat="1" ht="18.75" customHeight="1" x14ac:dyDescent="0.2">
      <c r="A326" s="139"/>
      <c r="B326" s="123"/>
      <c r="C326" s="140"/>
      <c r="D326" s="141"/>
      <c r="E326" s="143"/>
      <c r="F326" s="142"/>
      <c r="G326" s="128"/>
      <c r="H326" s="737"/>
      <c r="I326" s="725"/>
      <c r="J326" s="726"/>
      <c r="K326" s="726"/>
      <c r="L326" s="727"/>
      <c r="M326" s="726"/>
      <c r="N326" s="726"/>
      <c r="O326" s="169"/>
      <c r="P326" s="169"/>
      <c r="Q326" s="169"/>
      <c r="R326" s="169"/>
      <c r="S326" s="169"/>
      <c r="T326" s="169"/>
      <c r="U326" s="169"/>
      <c r="V326" s="169"/>
      <c r="W326" s="169"/>
      <c r="X326" s="170"/>
      <c r="Y326" s="154"/>
      <c r="Z326" s="147"/>
      <c r="AA326" s="147"/>
      <c r="AB326" s="148"/>
      <c r="AC326" s="732"/>
      <c r="AD326" s="732"/>
      <c r="AE326" s="732"/>
      <c r="AF326" s="732"/>
    </row>
    <row r="327" spans="1:36" s="621" customFormat="1" ht="18.75" customHeight="1" x14ac:dyDescent="0.2">
      <c r="A327" s="139"/>
      <c r="B327" s="670"/>
      <c r="C327" s="140"/>
      <c r="D327" s="141"/>
      <c r="E327" s="143"/>
      <c r="F327" s="142"/>
      <c r="G327" s="128"/>
      <c r="H327" s="713" t="s">
        <v>790</v>
      </c>
      <c r="I327" s="642" t="s">
        <v>383</v>
      </c>
      <c r="J327" s="616" t="s">
        <v>627</v>
      </c>
      <c r="K327" s="616"/>
      <c r="L327" s="615"/>
      <c r="M327" s="644" t="s">
        <v>383</v>
      </c>
      <c r="N327" s="616" t="s">
        <v>791</v>
      </c>
      <c r="O327" s="617"/>
      <c r="P327" s="615"/>
      <c r="Q327" s="644" t="s">
        <v>383</v>
      </c>
      <c r="R327" s="618" t="s">
        <v>802</v>
      </c>
      <c r="S327" s="615"/>
      <c r="T327" s="615"/>
      <c r="U327" s="615"/>
      <c r="V327" s="618"/>
      <c r="W327" s="619"/>
      <c r="X327" s="620"/>
      <c r="Y327" s="154"/>
      <c r="Z327" s="147"/>
      <c r="AA327" s="147"/>
      <c r="AB327" s="148"/>
      <c r="AC327" s="732"/>
      <c r="AD327" s="732"/>
      <c r="AE327" s="732"/>
      <c r="AF327" s="732"/>
    </row>
    <row r="328" spans="1:36" s="621" customFormat="1" ht="18.75" customHeight="1" x14ac:dyDescent="0.2">
      <c r="A328" s="139"/>
      <c r="B328" s="670"/>
      <c r="C328" s="140"/>
      <c r="D328" s="141"/>
      <c r="E328" s="143"/>
      <c r="F328" s="142"/>
      <c r="G328" s="128"/>
      <c r="H328" s="714"/>
      <c r="I328" s="643" t="s">
        <v>383</v>
      </c>
      <c r="J328" s="623" t="s">
        <v>803</v>
      </c>
      <c r="K328" s="623"/>
      <c r="L328" s="622"/>
      <c r="M328" s="211" t="s">
        <v>383</v>
      </c>
      <c r="N328" s="623" t="s">
        <v>804</v>
      </c>
      <c r="O328" s="624"/>
      <c r="P328" s="622"/>
      <c r="Q328" s="211" t="s">
        <v>383</v>
      </c>
      <c r="R328" s="623" t="s">
        <v>795</v>
      </c>
      <c r="S328" s="622"/>
      <c r="T328" s="623"/>
      <c r="U328" s="211" t="s">
        <v>383</v>
      </c>
      <c r="V328" s="623" t="s">
        <v>796</v>
      </c>
      <c r="W328" s="625"/>
      <c r="X328" s="626"/>
      <c r="Y328" s="154"/>
      <c r="Z328" s="147"/>
      <c r="AA328" s="147"/>
      <c r="AB328" s="148"/>
      <c r="AC328" s="732"/>
      <c r="AD328" s="732"/>
      <c r="AE328" s="732"/>
      <c r="AF328" s="732"/>
    </row>
    <row r="329" spans="1:36" s="109" customFormat="1" ht="18.75" customHeight="1" x14ac:dyDescent="0.2">
      <c r="A329" s="129"/>
      <c r="B329" s="116"/>
      <c r="C329" s="130"/>
      <c r="D329" s="131"/>
      <c r="E329" s="121"/>
      <c r="F329" s="132"/>
      <c r="G329" s="121"/>
      <c r="H329" s="740" t="s">
        <v>97</v>
      </c>
      <c r="I329" s="412" t="s">
        <v>383</v>
      </c>
      <c r="J329" s="413" t="s">
        <v>300</v>
      </c>
      <c r="K329" s="414"/>
      <c r="L329" s="415"/>
      <c r="M329" s="416" t="s">
        <v>383</v>
      </c>
      <c r="N329" s="413" t="s">
        <v>328</v>
      </c>
      <c r="O329" s="417"/>
      <c r="P329" s="417"/>
      <c r="Q329" s="416" t="s">
        <v>383</v>
      </c>
      <c r="R329" s="413" t="s">
        <v>329</v>
      </c>
      <c r="S329" s="417"/>
      <c r="T329" s="417"/>
      <c r="U329" s="416" t="s">
        <v>383</v>
      </c>
      <c r="V329" s="413" t="s">
        <v>330</v>
      </c>
      <c r="W329" s="417"/>
      <c r="X329" s="418"/>
      <c r="Y329" s="134" t="s">
        <v>383</v>
      </c>
      <c r="Z329" s="119" t="s">
        <v>249</v>
      </c>
      <c r="AA329" s="119"/>
      <c r="AB329" s="137"/>
      <c r="AC329" s="730"/>
      <c r="AD329" s="730"/>
      <c r="AE329" s="730"/>
      <c r="AF329" s="730"/>
      <c r="AG329" s="109" t="str">
        <f>"ser_code = '" &amp; IF(A340="■",23,"") &amp; "'"</f>
        <v>ser_code = ''</v>
      </c>
      <c r="AH329" s="109" t="str">
        <f>"23:jininkbn_code:" &amp; IF(F338="■",1,IF(F340="■",2,IF(F342="■",3,0)))</f>
        <v>23:jininkbn_code:0</v>
      </c>
      <c r="AI329" s="109" t="str">
        <f>"23:yakan_kinmu_code:" &amp; IF(I329="■",1,IF(M329="■",2,IF(Q329="■",3,IF(U329="■",7,IF(I330="■",5,IF(M330="■",6,0))))))</f>
        <v>23:yakan_kinmu_code:0</v>
      </c>
      <c r="AJ329" s="109" t="str">
        <f>"23:field203:" &amp; IF(Y329="■",1,IF(Y330="■",2,0))</f>
        <v>23:field203:0</v>
      </c>
    </row>
    <row r="330" spans="1:36" s="109" customFormat="1" ht="18.75" customHeight="1" x14ac:dyDescent="0.2">
      <c r="A330" s="139"/>
      <c r="B330" s="123"/>
      <c r="C330" s="140"/>
      <c r="D330" s="141"/>
      <c r="E330" s="128"/>
      <c r="F330" s="142"/>
      <c r="G330" s="128"/>
      <c r="H330" s="739"/>
      <c r="I330" s="380" t="s">
        <v>383</v>
      </c>
      <c r="J330" s="381" t="s">
        <v>331</v>
      </c>
      <c r="K330" s="419"/>
      <c r="L330" s="382"/>
      <c r="M330" s="383" t="s">
        <v>383</v>
      </c>
      <c r="N330" s="381" t="s">
        <v>301</v>
      </c>
      <c r="O330" s="384"/>
      <c r="P330" s="384"/>
      <c r="Q330" s="384"/>
      <c r="R330" s="384"/>
      <c r="S330" s="384"/>
      <c r="T330" s="384"/>
      <c r="U330" s="384"/>
      <c r="V330" s="384"/>
      <c r="W330" s="384"/>
      <c r="X330" s="385"/>
      <c r="Y330" s="118" t="s">
        <v>383</v>
      </c>
      <c r="Z330" s="126" t="s">
        <v>255</v>
      </c>
      <c r="AA330" s="147"/>
      <c r="AB330" s="148"/>
      <c r="AC330" s="731"/>
      <c r="AD330" s="731"/>
      <c r="AE330" s="731"/>
      <c r="AF330" s="731"/>
      <c r="AG330" s="109" t="str">
        <f>"23:sisetukbn_code:" &amp; IF(D340="■",6,0)</f>
        <v>23:sisetukbn_code:0</v>
      </c>
    </row>
    <row r="331" spans="1:36" s="109" customFormat="1" ht="18.75" customHeight="1" x14ac:dyDescent="0.2">
      <c r="A331" s="139"/>
      <c r="B331" s="123"/>
      <c r="C331" s="140"/>
      <c r="D331" s="141"/>
      <c r="E331" s="128"/>
      <c r="F331" s="142"/>
      <c r="G331" s="128"/>
      <c r="H331" s="364" t="s">
        <v>93</v>
      </c>
      <c r="I331" s="349" t="s">
        <v>383</v>
      </c>
      <c r="J331" s="350" t="s">
        <v>250</v>
      </c>
      <c r="K331" s="350"/>
      <c r="L331" s="352"/>
      <c r="M331" s="353" t="s">
        <v>383</v>
      </c>
      <c r="N331" s="350" t="s">
        <v>289</v>
      </c>
      <c r="O331" s="350"/>
      <c r="P331" s="352"/>
      <c r="Q331" s="353" t="s">
        <v>383</v>
      </c>
      <c r="R331" s="420" t="s">
        <v>290</v>
      </c>
      <c r="S331" s="420"/>
      <c r="T331" s="420"/>
      <c r="U331" s="353" t="s">
        <v>383</v>
      </c>
      <c r="V331" s="420" t="s">
        <v>291</v>
      </c>
      <c r="W331" s="355"/>
      <c r="X331" s="356"/>
      <c r="Y331" s="154"/>
      <c r="Z331" s="147"/>
      <c r="AA331" s="147"/>
      <c r="AB331" s="148"/>
      <c r="AC331" s="732"/>
      <c r="AD331" s="732"/>
      <c r="AE331" s="732"/>
      <c r="AF331" s="732"/>
      <c r="AI331" s="109" t="str">
        <f>"23:"&amp;IF(AND(I331="□",M331="□",Q331="□",U331="□"),"ketu_doctor_code:0",IF(I331="■","ketu_doctor_code:1:ketu_kangos_code:1:ketu_kshoku_code:1",
IF(M331="■","ketu_doctor_code:2","ketu_doctor_code:1")
&amp;IF(Q331="■",":ketu_kangos_code:2",":ketu_kangos_code:1")
&amp;IF(U331="■",":ketu_kshoku_code:2",":ketu_kshoku_code:1")))</f>
        <v>23:ketu_doctor_code:0</v>
      </c>
    </row>
    <row r="332" spans="1:36" s="109" customFormat="1" ht="18.75" customHeight="1" x14ac:dyDescent="0.2">
      <c r="A332" s="139"/>
      <c r="B332" s="123"/>
      <c r="C332" s="140"/>
      <c r="D332" s="141"/>
      <c r="E332" s="128"/>
      <c r="F332" s="142"/>
      <c r="G332" s="128"/>
      <c r="H332" s="364" t="s">
        <v>98</v>
      </c>
      <c r="I332" s="349" t="s">
        <v>383</v>
      </c>
      <c r="J332" s="350" t="s">
        <v>265</v>
      </c>
      <c r="K332" s="351"/>
      <c r="L332" s="352"/>
      <c r="M332" s="353" t="s">
        <v>383</v>
      </c>
      <c r="N332" s="350" t="s">
        <v>266</v>
      </c>
      <c r="O332" s="355"/>
      <c r="P332" s="355"/>
      <c r="Q332" s="355"/>
      <c r="R332" s="355"/>
      <c r="S332" s="355"/>
      <c r="T332" s="355"/>
      <c r="U332" s="355"/>
      <c r="V332" s="355"/>
      <c r="W332" s="355"/>
      <c r="X332" s="356"/>
      <c r="Y332" s="154"/>
      <c r="Z332" s="147"/>
      <c r="AA332" s="147"/>
      <c r="AB332" s="148"/>
      <c r="AC332" s="732"/>
      <c r="AD332" s="732"/>
      <c r="AE332" s="732"/>
      <c r="AF332" s="732"/>
      <c r="AI332" s="109" t="str">
        <f>"23:unitcare_code:" &amp; IF(I332="■",1,IF(M332="■",2,0))</f>
        <v>23:unitcare_code:0</v>
      </c>
    </row>
    <row r="333" spans="1:36" s="109" customFormat="1" ht="18.75" customHeight="1" x14ac:dyDescent="0.2">
      <c r="A333" s="139"/>
      <c r="B333" s="123"/>
      <c r="C333" s="248"/>
      <c r="D333" s="249"/>
      <c r="E333" s="128"/>
      <c r="F333" s="142"/>
      <c r="G333" s="143"/>
      <c r="H333" s="364" t="s">
        <v>107</v>
      </c>
      <c r="I333" s="349" t="s">
        <v>383</v>
      </c>
      <c r="J333" s="350" t="s">
        <v>395</v>
      </c>
      <c r="K333" s="351"/>
      <c r="L333" s="352"/>
      <c r="M333" s="353" t="s">
        <v>383</v>
      </c>
      <c r="N333" s="350" t="s">
        <v>396</v>
      </c>
      <c r="O333" s="351"/>
      <c r="P333" s="351"/>
      <c r="Q333" s="351"/>
      <c r="R333" s="351"/>
      <c r="S333" s="351"/>
      <c r="T333" s="351"/>
      <c r="U333" s="351"/>
      <c r="V333" s="351"/>
      <c r="W333" s="351"/>
      <c r="X333" s="365"/>
      <c r="Y333" s="154"/>
      <c r="Z333" s="147"/>
      <c r="AA333" s="147"/>
      <c r="AB333" s="148"/>
      <c r="AC333" s="732"/>
      <c r="AD333" s="732"/>
      <c r="AE333" s="732"/>
      <c r="AF333" s="732"/>
      <c r="AI333" s="109" t="str">
        <f>"23:sintaikousoku_code:" &amp; IF(I333="■",1,IF(M333="■",2,0))</f>
        <v>23:sintaikousoku_code:0</v>
      </c>
    </row>
    <row r="334" spans="1:36" s="109" customFormat="1" ht="19.5" customHeight="1" x14ac:dyDescent="0.2">
      <c r="A334" s="139"/>
      <c r="B334" s="123"/>
      <c r="C334" s="140"/>
      <c r="D334" s="141"/>
      <c r="E334" s="128"/>
      <c r="F334" s="142"/>
      <c r="G334" s="143"/>
      <c r="H334" s="155" t="s">
        <v>430</v>
      </c>
      <c r="I334" s="156" t="s">
        <v>383</v>
      </c>
      <c r="J334" s="157" t="s">
        <v>395</v>
      </c>
      <c r="K334" s="158"/>
      <c r="L334" s="159"/>
      <c r="M334" s="160" t="s">
        <v>383</v>
      </c>
      <c r="N334" s="157" t="s">
        <v>431</v>
      </c>
      <c r="O334" s="161"/>
      <c r="P334" s="157"/>
      <c r="Q334" s="162"/>
      <c r="R334" s="162"/>
      <c r="S334" s="162"/>
      <c r="T334" s="162"/>
      <c r="U334" s="162"/>
      <c r="V334" s="162"/>
      <c r="W334" s="162"/>
      <c r="X334" s="163"/>
      <c r="Y334" s="147"/>
      <c r="Z334" s="147"/>
      <c r="AA334" s="147"/>
      <c r="AB334" s="148"/>
      <c r="AC334" s="732"/>
      <c r="AD334" s="732"/>
      <c r="AE334" s="732"/>
      <c r="AF334" s="732"/>
      <c r="AI334" s="109" t="str">
        <f>"23:field223:" &amp; IF(I334="■",1,IF(M334="■",2,0))</f>
        <v>23:field223:0</v>
      </c>
    </row>
    <row r="335" spans="1:36" s="109" customFormat="1" ht="19.5" customHeight="1" x14ac:dyDescent="0.2">
      <c r="A335" s="139"/>
      <c r="B335" s="123"/>
      <c r="C335" s="140"/>
      <c r="D335" s="141"/>
      <c r="E335" s="128"/>
      <c r="F335" s="142"/>
      <c r="G335" s="143"/>
      <c r="H335" s="155" t="s">
        <v>448</v>
      </c>
      <c r="I335" s="156" t="s">
        <v>383</v>
      </c>
      <c r="J335" s="157" t="s">
        <v>395</v>
      </c>
      <c r="K335" s="158"/>
      <c r="L335" s="159"/>
      <c r="M335" s="160" t="s">
        <v>383</v>
      </c>
      <c r="N335" s="157" t="s">
        <v>431</v>
      </c>
      <c r="O335" s="161"/>
      <c r="P335" s="157"/>
      <c r="Q335" s="162"/>
      <c r="R335" s="162"/>
      <c r="S335" s="162"/>
      <c r="T335" s="162"/>
      <c r="U335" s="162"/>
      <c r="V335" s="162"/>
      <c r="W335" s="162"/>
      <c r="X335" s="163"/>
      <c r="Y335" s="147"/>
      <c r="Z335" s="147"/>
      <c r="AA335" s="147"/>
      <c r="AB335" s="148"/>
      <c r="AC335" s="732"/>
      <c r="AD335" s="732"/>
      <c r="AE335" s="732"/>
      <c r="AF335" s="732"/>
      <c r="AI335" s="109" t="str">
        <f>"23:field232:" &amp; IF(I335="■",1,IF(M335="■",2,0))</f>
        <v>23:field232:0</v>
      </c>
    </row>
    <row r="336" spans="1:36" s="109" customFormat="1" ht="18.75" customHeight="1" x14ac:dyDescent="0.2">
      <c r="A336" s="139"/>
      <c r="B336" s="123"/>
      <c r="C336" s="140"/>
      <c r="D336" s="141"/>
      <c r="E336" s="128"/>
      <c r="F336" s="142"/>
      <c r="G336" s="128"/>
      <c r="H336" s="242" t="s">
        <v>194</v>
      </c>
      <c r="I336" s="156" t="s">
        <v>383</v>
      </c>
      <c r="J336" s="157" t="s">
        <v>300</v>
      </c>
      <c r="K336" s="158"/>
      <c r="L336" s="159"/>
      <c r="M336" s="160" t="s">
        <v>383</v>
      </c>
      <c r="N336" s="157" t="s">
        <v>332</v>
      </c>
      <c r="O336" s="207"/>
      <c r="P336" s="207"/>
      <c r="Q336" s="207"/>
      <c r="R336" s="207"/>
      <c r="S336" s="162"/>
      <c r="T336" s="162"/>
      <c r="U336" s="162"/>
      <c r="V336" s="162"/>
      <c r="W336" s="162"/>
      <c r="X336" s="163"/>
      <c r="Y336" s="154"/>
      <c r="Z336" s="147"/>
      <c r="AA336" s="147"/>
      <c r="AB336" s="148"/>
      <c r="AC336" s="732"/>
      <c r="AD336" s="732"/>
      <c r="AE336" s="732"/>
      <c r="AF336" s="732"/>
      <c r="AI336" s="109" t="str">
        <f>"23:ryokan_code:" &amp; IF(I336="■",1,IF(M336="■",2,0))</f>
        <v>23:ryokan_code:0</v>
      </c>
    </row>
    <row r="337" spans="1:35" s="109" customFormat="1" ht="18.75" customHeight="1" x14ac:dyDescent="0.2">
      <c r="A337" s="139"/>
      <c r="B337" s="123"/>
      <c r="C337" s="140"/>
      <c r="D337" s="141"/>
      <c r="E337" s="128"/>
      <c r="F337" s="142"/>
      <c r="G337" s="128"/>
      <c r="H337" s="242" t="s">
        <v>101</v>
      </c>
      <c r="I337" s="156" t="s">
        <v>383</v>
      </c>
      <c r="J337" s="157" t="s">
        <v>428</v>
      </c>
      <c r="K337" s="158"/>
      <c r="L337" s="159"/>
      <c r="M337" s="160" t="s">
        <v>383</v>
      </c>
      <c r="N337" s="157" t="s">
        <v>333</v>
      </c>
      <c r="O337" s="162"/>
      <c r="P337" s="162"/>
      <c r="Q337" s="162"/>
      <c r="R337" s="207"/>
      <c r="S337" s="162"/>
      <c r="T337" s="162"/>
      <c r="U337" s="162"/>
      <c r="V337" s="162"/>
      <c r="W337" s="162"/>
      <c r="X337" s="163"/>
      <c r="Y337" s="154"/>
      <c r="Z337" s="147"/>
      <c r="AA337" s="147"/>
      <c r="AB337" s="148"/>
      <c r="AC337" s="732"/>
      <c r="AD337" s="732"/>
      <c r="AE337" s="732"/>
      <c r="AF337" s="732"/>
      <c r="AI337" s="109" t="str">
        <f>"23:doctor_haiti_code:" &amp; IF(I337="■",1,IF(M337="■",2,0))</f>
        <v>23:doctor_haiti_code:0</v>
      </c>
    </row>
    <row r="338" spans="1:35" s="109" customFormat="1" ht="18.75" customHeight="1" x14ac:dyDescent="0.2">
      <c r="A338" s="139"/>
      <c r="B338" s="123"/>
      <c r="C338" s="140"/>
      <c r="D338" s="141"/>
      <c r="E338" s="128"/>
      <c r="F338" s="118" t="s">
        <v>383</v>
      </c>
      <c r="G338" s="128" t="s">
        <v>351</v>
      </c>
      <c r="H338" s="242" t="s">
        <v>110</v>
      </c>
      <c r="I338" s="156" t="s">
        <v>383</v>
      </c>
      <c r="J338" s="157" t="s">
        <v>250</v>
      </c>
      <c r="K338" s="158"/>
      <c r="L338" s="160" t="s">
        <v>383</v>
      </c>
      <c r="M338" s="157" t="s">
        <v>267</v>
      </c>
      <c r="N338" s="162"/>
      <c r="O338" s="162"/>
      <c r="P338" s="162"/>
      <c r="Q338" s="162"/>
      <c r="R338" s="162"/>
      <c r="S338" s="162"/>
      <c r="T338" s="162"/>
      <c r="U338" s="162"/>
      <c r="V338" s="162"/>
      <c r="W338" s="162"/>
      <c r="X338" s="163"/>
      <c r="Y338" s="154"/>
      <c r="Z338" s="147"/>
      <c r="AA338" s="147"/>
      <c r="AB338" s="148"/>
      <c r="AC338" s="732"/>
      <c r="AD338" s="732"/>
      <c r="AE338" s="732"/>
      <c r="AF338" s="732"/>
      <c r="AI338" s="109" t="str">
        <f>"23:jyakuninti_uke_code:" &amp; IF(I338="■",1,IF(L338="■",2,0))</f>
        <v>23:jyakuninti_uke_code:0</v>
      </c>
    </row>
    <row r="339" spans="1:35" s="109" customFormat="1" ht="18.75" customHeight="1" x14ac:dyDescent="0.2">
      <c r="A339" s="139"/>
      <c r="B339" s="123"/>
      <c r="C339" s="140"/>
      <c r="D339" s="141"/>
      <c r="E339" s="128"/>
      <c r="F339" s="141"/>
      <c r="G339" s="128" t="s">
        <v>352</v>
      </c>
      <c r="H339" s="242" t="s">
        <v>95</v>
      </c>
      <c r="I339" s="156" t="s">
        <v>383</v>
      </c>
      <c r="J339" s="157" t="s">
        <v>265</v>
      </c>
      <c r="K339" s="158"/>
      <c r="L339" s="159"/>
      <c r="M339" s="160" t="s">
        <v>383</v>
      </c>
      <c r="N339" s="157" t="s">
        <v>266</v>
      </c>
      <c r="O339" s="162"/>
      <c r="P339" s="162"/>
      <c r="Q339" s="162"/>
      <c r="R339" s="162"/>
      <c r="S339" s="162"/>
      <c r="T339" s="162"/>
      <c r="U339" s="162"/>
      <c r="V339" s="162"/>
      <c r="W339" s="162"/>
      <c r="X339" s="163"/>
      <c r="Y339" s="154"/>
      <c r="Z339" s="147"/>
      <c r="AA339" s="147"/>
      <c r="AB339" s="148"/>
      <c r="AC339" s="732"/>
      <c r="AD339" s="732"/>
      <c r="AE339" s="732"/>
      <c r="AF339" s="732"/>
      <c r="AI339" s="109" t="str">
        <f>"23:sougei_code:" &amp; IF(I339="■",1,IF(M339="■",2,0))</f>
        <v>23:sougei_code:0</v>
      </c>
    </row>
    <row r="340" spans="1:35" s="109" customFormat="1" ht="19.5" customHeight="1" x14ac:dyDescent="0.2">
      <c r="A340" s="125" t="s">
        <v>383</v>
      </c>
      <c r="B340" s="123">
        <v>23</v>
      </c>
      <c r="C340" s="140" t="s">
        <v>193</v>
      </c>
      <c r="D340" s="118" t="s">
        <v>383</v>
      </c>
      <c r="E340" s="128" t="s">
        <v>357</v>
      </c>
      <c r="F340" s="118" t="s">
        <v>383</v>
      </c>
      <c r="G340" s="128" t="s">
        <v>353</v>
      </c>
      <c r="H340" s="155" t="s">
        <v>433</v>
      </c>
      <c r="I340" s="156" t="s">
        <v>383</v>
      </c>
      <c r="J340" s="157" t="s">
        <v>250</v>
      </c>
      <c r="K340" s="157"/>
      <c r="L340" s="160" t="s">
        <v>383</v>
      </c>
      <c r="M340" s="157" t="s">
        <v>267</v>
      </c>
      <c r="N340" s="157"/>
      <c r="O340" s="162"/>
      <c r="P340" s="157"/>
      <c r="Q340" s="162"/>
      <c r="R340" s="162"/>
      <c r="S340" s="162"/>
      <c r="T340" s="162"/>
      <c r="U340" s="162"/>
      <c r="V340" s="162"/>
      <c r="W340" s="162"/>
      <c r="X340" s="163"/>
      <c r="Y340" s="147"/>
      <c r="Z340" s="147"/>
      <c r="AA340" s="147"/>
      <c r="AB340" s="148"/>
      <c r="AC340" s="732"/>
      <c r="AD340" s="732"/>
      <c r="AE340" s="732"/>
      <c r="AF340" s="732"/>
      <c r="AI340" s="109" t="str">
        <f>"23:field224:" &amp; IF(I340="■",1,IF(L340="■",2,0))</f>
        <v>23:field224:0</v>
      </c>
    </row>
    <row r="341" spans="1:35" s="109" customFormat="1" ht="18.75" customHeight="1" x14ac:dyDescent="0.2">
      <c r="A341" s="139"/>
      <c r="B341" s="123"/>
      <c r="C341" s="140"/>
      <c r="D341" s="141"/>
      <c r="E341" s="128"/>
      <c r="F341" s="141"/>
      <c r="G341" s="128" t="s">
        <v>354</v>
      </c>
      <c r="H341" s="242" t="s">
        <v>112</v>
      </c>
      <c r="I341" s="156" t="s">
        <v>383</v>
      </c>
      <c r="J341" s="157" t="s">
        <v>250</v>
      </c>
      <c r="K341" s="158"/>
      <c r="L341" s="160" t="s">
        <v>383</v>
      </c>
      <c r="M341" s="157" t="s">
        <v>267</v>
      </c>
      <c r="N341" s="162"/>
      <c r="O341" s="162"/>
      <c r="P341" s="162"/>
      <c r="Q341" s="162"/>
      <c r="R341" s="162"/>
      <c r="S341" s="162"/>
      <c r="T341" s="162"/>
      <c r="U341" s="162"/>
      <c r="V341" s="162"/>
      <c r="W341" s="162"/>
      <c r="X341" s="163"/>
      <c r="Y341" s="154"/>
      <c r="Z341" s="147"/>
      <c r="AA341" s="147"/>
      <c r="AB341" s="148"/>
      <c r="AC341" s="732"/>
      <c r="AD341" s="732"/>
      <c r="AE341" s="732"/>
      <c r="AF341" s="732"/>
      <c r="AI341" s="109" t="str">
        <f>"23:ryouyoushoku_code:" &amp; IF(I341="■",1,IF(L341="■",2,0))</f>
        <v>23:ryouyoushoku_code:0</v>
      </c>
    </row>
    <row r="342" spans="1:35" s="109" customFormat="1" ht="18.75" customHeight="1" x14ac:dyDescent="0.2">
      <c r="A342" s="139"/>
      <c r="B342" s="123"/>
      <c r="C342" s="140"/>
      <c r="D342" s="141"/>
      <c r="E342" s="128"/>
      <c r="F342" s="118" t="s">
        <v>383</v>
      </c>
      <c r="G342" s="128" t="s">
        <v>355</v>
      </c>
      <c r="H342" s="242" t="s">
        <v>184</v>
      </c>
      <c r="I342" s="156" t="s">
        <v>383</v>
      </c>
      <c r="J342" s="157" t="s">
        <v>250</v>
      </c>
      <c r="K342" s="157"/>
      <c r="L342" s="160" t="s">
        <v>383</v>
      </c>
      <c r="M342" s="157" t="s">
        <v>251</v>
      </c>
      <c r="N342" s="157"/>
      <c r="O342" s="160" t="s">
        <v>383</v>
      </c>
      <c r="P342" s="157" t="s">
        <v>252</v>
      </c>
      <c r="Q342" s="162"/>
      <c r="R342" s="162"/>
      <c r="S342" s="162"/>
      <c r="T342" s="162"/>
      <c r="U342" s="162"/>
      <c r="V342" s="162"/>
      <c r="W342" s="162"/>
      <c r="X342" s="163"/>
      <c r="Y342" s="154"/>
      <c r="Z342" s="147"/>
      <c r="AA342" s="147"/>
      <c r="AB342" s="148"/>
      <c r="AC342" s="732"/>
      <c r="AD342" s="732"/>
      <c r="AE342" s="732"/>
      <c r="AF342" s="732"/>
      <c r="AI342" s="109" t="str">
        <f>"23:ninti_senmoncare_code:" &amp; IF(I342="■",1,IF(O342="■",3,IF(L342="■",2,0)))</f>
        <v>23:ninti_senmoncare_code:0</v>
      </c>
    </row>
    <row r="343" spans="1:35" s="109" customFormat="1" ht="18.75" customHeight="1" x14ac:dyDescent="0.2">
      <c r="A343" s="139"/>
      <c r="B343" s="123"/>
      <c r="C343" s="140"/>
      <c r="D343" s="141"/>
      <c r="E343" s="128"/>
      <c r="F343" s="141"/>
      <c r="G343" s="128" t="s">
        <v>356</v>
      </c>
      <c r="H343" s="250" t="s">
        <v>442</v>
      </c>
      <c r="I343" s="156" t="s">
        <v>383</v>
      </c>
      <c r="J343" s="157" t="s">
        <v>250</v>
      </c>
      <c r="K343" s="157"/>
      <c r="L343" s="160" t="s">
        <v>383</v>
      </c>
      <c r="M343" s="157" t="s">
        <v>251</v>
      </c>
      <c r="N343" s="157"/>
      <c r="O343" s="160" t="s">
        <v>383</v>
      </c>
      <c r="P343" s="157" t="s">
        <v>252</v>
      </c>
      <c r="Q343" s="162"/>
      <c r="R343" s="162"/>
      <c r="S343" s="162"/>
      <c r="T343" s="162"/>
      <c r="U343" s="251"/>
      <c r="V343" s="251"/>
      <c r="W343" s="251"/>
      <c r="X343" s="252"/>
      <c r="Y343" s="154"/>
      <c r="Z343" s="147"/>
      <c r="AA343" s="147"/>
      <c r="AB343" s="148"/>
      <c r="AC343" s="732"/>
      <c r="AD343" s="732"/>
      <c r="AE343" s="732"/>
      <c r="AF343" s="732"/>
      <c r="AI343" s="109" t="str">
        <f>"23:field225:" &amp; IF(I343="■",1,IF(L343="■",2,IF(O343="■",3,0)))</f>
        <v>23:field225:0</v>
      </c>
    </row>
    <row r="344" spans="1:35" s="109" customFormat="1" ht="18.75" customHeight="1" x14ac:dyDescent="0.2">
      <c r="A344" s="139"/>
      <c r="B344" s="123"/>
      <c r="C344" s="140"/>
      <c r="D344" s="141"/>
      <c r="E344" s="128"/>
      <c r="F344" s="141"/>
      <c r="G344" s="128"/>
      <c r="H344" s="741" t="s">
        <v>102</v>
      </c>
      <c r="I344" s="175" t="s">
        <v>383</v>
      </c>
      <c r="J344" s="168" t="s">
        <v>320</v>
      </c>
      <c r="K344" s="168"/>
      <c r="L344" s="251"/>
      <c r="M344" s="251"/>
      <c r="N344" s="251"/>
      <c r="O344" s="251"/>
      <c r="P344" s="206" t="s">
        <v>383</v>
      </c>
      <c r="Q344" s="168" t="s">
        <v>321</v>
      </c>
      <c r="R344" s="251"/>
      <c r="S344" s="251"/>
      <c r="T344" s="251"/>
      <c r="U344" s="251"/>
      <c r="V344" s="251"/>
      <c r="W344" s="251"/>
      <c r="X344" s="252"/>
      <c r="Y344" s="154"/>
      <c r="Z344" s="147"/>
      <c r="AA344" s="147"/>
      <c r="AB344" s="148"/>
      <c r="AC344" s="732"/>
      <c r="AD344" s="732"/>
      <c r="AE344" s="732"/>
      <c r="AF344" s="732"/>
      <c r="AI344" s="109" t="str">
        <f>"23:" &amp; IF(AND(I344="□",P344="□",I345="□"),"tokusin_jyusho_code:0:tokusin_yakuzai_code:0:shuudan_comu_code:0",IF(I344="■","tokusin_jyusho_code:2","tokusin_jyusho_code:1")
&amp;IF(P344="■",":tokusin_yakuzai_code:2",":tokusin_yakuzai_code:1")
&amp;IF(I345="■",":shuudan_comu_code:2",":shuudan_comu_code:1"))</f>
        <v>23:tokusin_jyusho_code:0:tokusin_yakuzai_code:0:shuudan_comu_code:0</v>
      </c>
    </row>
    <row r="345" spans="1:35" s="109" customFormat="1" ht="18.75" customHeight="1" x14ac:dyDescent="0.2">
      <c r="A345" s="139"/>
      <c r="B345" s="123"/>
      <c r="C345" s="140"/>
      <c r="D345" s="141"/>
      <c r="E345" s="128"/>
      <c r="F345" s="141"/>
      <c r="G345" s="128"/>
      <c r="H345" s="742"/>
      <c r="I345" s="150" t="s">
        <v>383</v>
      </c>
      <c r="J345" s="169" t="s">
        <v>334</v>
      </c>
      <c r="K345" s="152"/>
      <c r="L345" s="152"/>
      <c r="M345" s="152"/>
      <c r="N345" s="152"/>
      <c r="O345" s="152"/>
      <c r="P345" s="152"/>
      <c r="Q345" s="151"/>
      <c r="R345" s="152"/>
      <c r="S345" s="152"/>
      <c r="T345" s="152"/>
      <c r="U345" s="152"/>
      <c r="V345" s="152"/>
      <c r="W345" s="152"/>
      <c r="X345" s="153"/>
      <c r="Y345" s="154"/>
      <c r="Z345" s="147"/>
      <c r="AA345" s="147"/>
      <c r="AB345" s="148"/>
      <c r="AC345" s="732"/>
      <c r="AD345" s="732"/>
      <c r="AE345" s="732"/>
      <c r="AF345" s="732"/>
    </row>
    <row r="346" spans="1:35" s="109" customFormat="1" ht="18.75" customHeight="1" x14ac:dyDescent="0.2">
      <c r="A346" s="139"/>
      <c r="B346" s="123"/>
      <c r="C346" s="140"/>
      <c r="D346" s="141"/>
      <c r="E346" s="128"/>
      <c r="F346" s="141"/>
      <c r="G346" s="128"/>
      <c r="H346" s="741" t="s">
        <v>103</v>
      </c>
      <c r="I346" s="175" t="s">
        <v>383</v>
      </c>
      <c r="J346" s="168" t="s">
        <v>335</v>
      </c>
      <c r="K346" s="181"/>
      <c r="L346" s="214"/>
      <c r="M346" s="206" t="s">
        <v>383</v>
      </c>
      <c r="N346" s="168" t="s">
        <v>336</v>
      </c>
      <c r="O346" s="251"/>
      <c r="P346" s="251"/>
      <c r="Q346" s="206" t="s">
        <v>383</v>
      </c>
      <c r="R346" s="168" t="s">
        <v>337</v>
      </c>
      <c r="S346" s="251"/>
      <c r="T346" s="251"/>
      <c r="U346" s="251"/>
      <c r="V346" s="251"/>
      <c r="W346" s="251"/>
      <c r="X346" s="252"/>
      <c r="Y346" s="154"/>
      <c r="Z346" s="147"/>
      <c r="AA346" s="147"/>
      <c r="AB346" s="148"/>
      <c r="AC346" s="732"/>
      <c r="AD346" s="732"/>
      <c r="AE346" s="732"/>
      <c r="AF346" s="732"/>
      <c r="AI346" s="109" t="str">
        <f>"23:"&amp;IF(AND(I346="□",M346="□",Q346="□",I347="□",Q347="□"),"koriha_rryoho1_code:0:koriha_sryoho_code:0:koriha_gengo_code:0:riha_seisin_code:0:koriha_other_code:0",IF(I346="■","koriha_rryoho1_code:2","koriha_rryoho1_code:1")
&amp;IF(M346="■",":koriha_sryoho_code:2",":koriha_sryoho_code:1")
&amp;IF(Q346="■",":koriha_gengo_code:2",":koriha_gengo_code:1")
&amp;IF(I347="■",":riha_seisin_code:2",":riha_seisin_code:1")
&amp;IF(Q347="■",":koriha_other_code:2",":koriha_other_code:1"))</f>
        <v>23:koriha_rryoho1_code:0:koriha_sryoho_code:0:koriha_gengo_code:0:riha_seisin_code:0:koriha_other_code:0</v>
      </c>
    </row>
    <row r="347" spans="1:35" s="109" customFormat="1" ht="18.75" customHeight="1" x14ac:dyDescent="0.2">
      <c r="A347" s="139"/>
      <c r="B347" s="123"/>
      <c r="C347" s="140"/>
      <c r="D347" s="141"/>
      <c r="E347" s="128"/>
      <c r="F347" s="141"/>
      <c r="G347" s="128"/>
      <c r="H347" s="742"/>
      <c r="I347" s="150" t="s">
        <v>383</v>
      </c>
      <c r="J347" s="169" t="s">
        <v>338</v>
      </c>
      <c r="K347" s="152"/>
      <c r="L347" s="152"/>
      <c r="M347" s="152"/>
      <c r="N347" s="152"/>
      <c r="O347" s="152"/>
      <c r="P347" s="152"/>
      <c r="Q347" s="203" t="s">
        <v>383</v>
      </c>
      <c r="R347" s="169" t="s">
        <v>339</v>
      </c>
      <c r="S347" s="151"/>
      <c r="T347" s="152"/>
      <c r="U347" s="152"/>
      <c r="V347" s="152"/>
      <c r="W347" s="152"/>
      <c r="X347" s="153"/>
      <c r="Y347" s="154"/>
      <c r="Z347" s="147"/>
      <c r="AA347" s="147"/>
      <c r="AB347" s="148"/>
      <c r="AC347" s="732"/>
      <c r="AD347" s="732"/>
      <c r="AE347" s="732"/>
      <c r="AF347" s="732"/>
    </row>
    <row r="348" spans="1:35" s="109" customFormat="1" ht="18.75" customHeight="1" x14ac:dyDescent="0.2">
      <c r="A348" s="139"/>
      <c r="B348" s="123"/>
      <c r="C348" s="140"/>
      <c r="D348" s="141"/>
      <c r="E348" s="128"/>
      <c r="F348" s="141"/>
      <c r="G348" s="128"/>
      <c r="H348" s="239" t="s">
        <v>118</v>
      </c>
      <c r="I348" s="156" t="s">
        <v>383</v>
      </c>
      <c r="J348" s="157" t="s">
        <v>250</v>
      </c>
      <c r="K348" s="157"/>
      <c r="L348" s="160" t="s">
        <v>383</v>
      </c>
      <c r="M348" s="157" t="s">
        <v>258</v>
      </c>
      <c r="N348" s="157"/>
      <c r="O348" s="160" t="s">
        <v>383</v>
      </c>
      <c r="P348" s="157" t="s">
        <v>259</v>
      </c>
      <c r="Q348" s="207"/>
      <c r="R348" s="160" t="s">
        <v>383</v>
      </c>
      <c r="S348" s="157" t="s">
        <v>283</v>
      </c>
      <c r="T348" s="207"/>
      <c r="U348" s="207"/>
      <c r="V348" s="207"/>
      <c r="W348" s="207"/>
      <c r="X348" s="208"/>
      <c r="Y348" s="154"/>
      <c r="Z348" s="147"/>
      <c r="AA348" s="147"/>
      <c r="AB348" s="148"/>
      <c r="AC348" s="732"/>
      <c r="AD348" s="732"/>
      <c r="AE348" s="732"/>
      <c r="AF348" s="732"/>
      <c r="AI348" s="109" t="str">
        <f>"23:serteikyo_kyoka_code:" &amp; IF(I348="■",1,IF(L348="■",6,IF(O348="■",5,IF(R348="■",7,0))))</f>
        <v>23:serteikyo_kyoka_code:0</v>
      </c>
    </row>
    <row r="349" spans="1:35" s="109" customFormat="1" ht="18.75" customHeight="1" x14ac:dyDescent="0.2">
      <c r="A349" s="139"/>
      <c r="B349" s="123"/>
      <c r="C349" s="140"/>
      <c r="D349" s="141"/>
      <c r="E349" s="128"/>
      <c r="F349" s="141"/>
      <c r="G349" s="128"/>
      <c r="H349" s="713" t="s">
        <v>801</v>
      </c>
      <c r="I349" s="725" t="s">
        <v>383</v>
      </c>
      <c r="J349" s="726" t="s">
        <v>250</v>
      </c>
      <c r="K349" s="726"/>
      <c r="L349" s="727" t="s">
        <v>383</v>
      </c>
      <c r="M349" s="726" t="s">
        <v>267</v>
      </c>
      <c r="N349" s="726"/>
      <c r="O349" s="168"/>
      <c r="P349" s="168"/>
      <c r="Q349" s="168"/>
      <c r="R349" s="168"/>
      <c r="S349" s="168"/>
      <c r="T349" s="168"/>
      <c r="U349" s="168"/>
      <c r="V349" s="168"/>
      <c r="W349" s="168"/>
      <c r="X349" s="173"/>
      <c r="Y349" s="154"/>
      <c r="Z349" s="147"/>
      <c r="AA349" s="147"/>
      <c r="AB349" s="148"/>
      <c r="AC349" s="732"/>
      <c r="AD349" s="732"/>
      <c r="AE349" s="732"/>
      <c r="AF349" s="732"/>
      <c r="AI349" s="109" t="str">
        <f>"23:field221:" &amp; IF(I349="■",1,IF(L349="■",2,0))</f>
        <v>23:field221:0</v>
      </c>
    </row>
    <row r="350" spans="1:35" s="109" customFormat="1" ht="18.75" customHeight="1" x14ac:dyDescent="0.2">
      <c r="A350" s="139"/>
      <c r="B350" s="670"/>
      <c r="C350" s="140"/>
      <c r="D350" s="141"/>
      <c r="E350" s="128"/>
      <c r="F350" s="141"/>
      <c r="G350" s="128"/>
      <c r="H350" s="737"/>
      <c r="I350" s="725"/>
      <c r="J350" s="726"/>
      <c r="K350" s="726"/>
      <c r="L350" s="727"/>
      <c r="M350" s="726"/>
      <c r="N350" s="726"/>
      <c r="O350" s="169"/>
      <c r="P350" s="169"/>
      <c r="Q350" s="169"/>
      <c r="R350" s="169"/>
      <c r="S350" s="169"/>
      <c r="T350" s="169"/>
      <c r="U350" s="169"/>
      <c r="V350" s="169"/>
      <c r="W350" s="169"/>
      <c r="X350" s="170"/>
      <c r="Y350" s="154"/>
      <c r="Z350" s="147"/>
      <c r="AA350" s="147"/>
      <c r="AB350" s="148"/>
      <c r="AC350" s="732"/>
      <c r="AD350" s="732"/>
      <c r="AE350" s="732"/>
      <c r="AF350" s="732"/>
    </row>
    <row r="351" spans="1:35" s="621" customFormat="1" ht="18.75" customHeight="1" x14ac:dyDescent="0.2">
      <c r="A351" s="139"/>
      <c r="B351" s="670"/>
      <c r="C351" s="140"/>
      <c r="D351" s="141"/>
      <c r="E351" s="128"/>
      <c r="F351" s="141"/>
      <c r="G351" s="128"/>
      <c r="H351" s="713" t="s">
        <v>790</v>
      </c>
      <c r="I351" s="642" t="s">
        <v>383</v>
      </c>
      <c r="J351" s="616" t="s">
        <v>627</v>
      </c>
      <c r="K351" s="616"/>
      <c r="L351" s="615"/>
      <c r="M351" s="644" t="s">
        <v>383</v>
      </c>
      <c r="N351" s="616" t="s">
        <v>791</v>
      </c>
      <c r="O351" s="617"/>
      <c r="P351" s="615"/>
      <c r="Q351" s="644" t="s">
        <v>383</v>
      </c>
      <c r="R351" s="618" t="s">
        <v>802</v>
      </c>
      <c r="S351" s="615"/>
      <c r="T351" s="615"/>
      <c r="U351" s="615"/>
      <c r="V351" s="618"/>
      <c r="W351" s="619"/>
      <c r="X351" s="620"/>
      <c r="Y351" s="154"/>
      <c r="Z351" s="147"/>
      <c r="AA351" s="147"/>
      <c r="AB351" s="148"/>
      <c r="AC351" s="733"/>
      <c r="AD351" s="733"/>
      <c r="AE351" s="733"/>
      <c r="AF351" s="733"/>
    </row>
    <row r="352" spans="1:35" s="621" customFormat="1" ht="18.75" customHeight="1" x14ac:dyDescent="0.2">
      <c r="A352" s="139"/>
      <c r="B352" s="670"/>
      <c r="C352" s="140"/>
      <c r="D352" s="141"/>
      <c r="E352" s="128"/>
      <c r="F352" s="141"/>
      <c r="G352" s="128"/>
      <c r="H352" s="714"/>
      <c r="I352" s="643" t="s">
        <v>383</v>
      </c>
      <c r="J352" s="623" t="s">
        <v>803</v>
      </c>
      <c r="K352" s="623"/>
      <c r="L352" s="622"/>
      <c r="M352" s="211" t="s">
        <v>383</v>
      </c>
      <c r="N352" s="623" t="s">
        <v>804</v>
      </c>
      <c r="O352" s="624"/>
      <c r="P352" s="622"/>
      <c r="Q352" s="211" t="s">
        <v>383</v>
      </c>
      <c r="R352" s="623" t="s">
        <v>795</v>
      </c>
      <c r="S352" s="622"/>
      <c r="T352" s="623"/>
      <c r="U352" s="211" t="s">
        <v>383</v>
      </c>
      <c r="V352" s="623" t="s">
        <v>796</v>
      </c>
      <c r="W352" s="625"/>
      <c r="X352" s="626"/>
      <c r="Y352" s="154"/>
      <c r="Z352" s="147"/>
      <c r="AA352" s="147"/>
      <c r="AB352" s="148"/>
      <c r="AC352" s="733"/>
      <c r="AD352" s="733"/>
      <c r="AE352" s="733"/>
      <c r="AF352" s="733"/>
    </row>
    <row r="353" spans="1:36" s="109" customFormat="1" ht="18.75" customHeight="1" x14ac:dyDescent="0.2">
      <c r="A353" s="129"/>
      <c r="B353" s="116"/>
      <c r="C353" s="130"/>
      <c r="D353" s="131"/>
      <c r="E353" s="121"/>
      <c r="F353" s="132"/>
      <c r="G353" s="121"/>
      <c r="H353" s="740" t="s">
        <v>97</v>
      </c>
      <c r="I353" s="412" t="s">
        <v>383</v>
      </c>
      <c r="J353" s="413" t="s">
        <v>300</v>
      </c>
      <c r="K353" s="414"/>
      <c r="L353" s="415"/>
      <c r="M353" s="416" t="s">
        <v>383</v>
      </c>
      <c r="N353" s="413" t="s">
        <v>328</v>
      </c>
      <c r="O353" s="417"/>
      <c r="P353" s="417"/>
      <c r="Q353" s="416" t="s">
        <v>383</v>
      </c>
      <c r="R353" s="413" t="s">
        <v>329</v>
      </c>
      <c r="S353" s="417"/>
      <c r="T353" s="417"/>
      <c r="U353" s="416" t="s">
        <v>383</v>
      </c>
      <c r="V353" s="413" t="s">
        <v>330</v>
      </c>
      <c r="W353" s="417"/>
      <c r="X353" s="418"/>
      <c r="Y353" s="138" t="s">
        <v>383</v>
      </c>
      <c r="Z353" s="119" t="s">
        <v>249</v>
      </c>
      <c r="AA353" s="119"/>
      <c r="AB353" s="137"/>
      <c r="AC353" s="730"/>
      <c r="AD353" s="730"/>
      <c r="AE353" s="730"/>
      <c r="AF353" s="730"/>
      <c r="AG353" s="109" t="str">
        <f>"ser_code = '" &amp; IF(A364="■",23,"") &amp; "'"</f>
        <v>ser_code = ''</v>
      </c>
      <c r="AH353" s="109" t="str">
        <f>"23:jininkbn_code:" &amp; IF(F364="■",2,IF(F365="■",3,0))</f>
        <v>23:jininkbn_code:0</v>
      </c>
      <c r="AI353" s="109" t="str">
        <f>"23:yakan_kinmu_code:" &amp; IF(I353="■",1,IF(M353="■",2,IF(Q353="■",3,IF(U353="■",7,IF(I354="■",5,IF(M354="■",6,0))))))</f>
        <v>23:yakan_kinmu_code:0</v>
      </c>
      <c r="AJ353" s="109" t="str">
        <f>"23:field203:" &amp; IF(Y353="■",1,IF(Y354="■",2,0))</f>
        <v>23:field203:0</v>
      </c>
    </row>
    <row r="354" spans="1:36" s="109" customFormat="1" ht="18.75" customHeight="1" x14ac:dyDescent="0.2">
      <c r="A354" s="139"/>
      <c r="B354" s="123"/>
      <c r="C354" s="140"/>
      <c r="D354" s="141"/>
      <c r="E354" s="128"/>
      <c r="F354" s="142"/>
      <c r="G354" s="128"/>
      <c r="H354" s="739"/>
      <c r="I354" s="380" t="s">
        <v>383</v>
      </c>
      <c r="J354" s="381" t="s">
        <v>331</v>
      </c>
      <c r="K354" s="419"/>
      <c r="L354" s="382"/>
      <c r="M354" s="383" t="s">
        <v>383</v>
      </c>
      <c r="N354" s="381" t="s">
        <v>301</v>
      </c>
      <c r="O354" s="384"/>
      <c r="P354" s="384"/>
      <c r="Q354" s="384"/>
      <c r="R354" s="384"/>
      <c r="S354" s="384"/>
      <c r="T354" s="384"/>
      <c r="U354" s="384"/>
      <c r="V354" s="384"/>
      <c r="W354" s="384"/>
      <c r="X354" s="385"/>
      <c r="Y354" s="118" t="s">
        <v>383</v>
      </c>
      <c r="Z354" s="126" t="s">
        <v>255</v>
      </c>
      <c r="AA354" s="147"/>
      <c r="AB354" s="148"/>
      <c r="AC354" s="731"/>
      <c r="AD354" s="731"/>
      <c r="AE354" s="731"/>
      <c r="AF354" s="731"/>
      <c r="AG354" s="109" t="str">
        <f>"23:sisetukbn_code:"&amp;IF(D364="■","A",IF(D365="■","C",0))</f>
        <v>23:sisetukbn_code:0</v>
      </c>
    </row>
    <row r="355" spans="1:36" s="109" customFormat="1" ht="18.75" customHeight="1" x14ac:dyDescent="0.2">
      <c r="A355" s="139"/>
      <c r="B355" s="123"/>
      <c r="C355" s="140"/>
      <c r="D355" s="141"/>
      <c r="E355" s="128"/>
      <c r="F355" s="142"/>
      <c r="G355" s="128"/>
      <c r="H355" s="364" t="s">
        <v>93</v>
      </c>
      <c r="I355" s="349" t="s">
        <v>383</v>
      </c>
      <c r="J355" s="350" t="s">
        <v>250</v>
      </c>
      <c r="K355" s="350"/>
      <c r="L355" s="352"/>
      <c r="M355" s="353" t="s">
        <v>383</v>
      </c>
      <c r="N355" s="350" t="s">
        <v>289</v>
      </c>
      <c r="O355" s="350"/>
      <c r="P355" s="352"/>
      <c r="Q355" s="353" t="s">
        <v>383</v>
      </c>
      <c r="R355" s="420" t="s">
        <v>290</v>
      </c>
      <c r="S355" s="420"/>
      <c r="T355" s="420"/>
      <c r="U355" s="353" t="s">
        <v>383</v>
      </c>
      <c r="V355" s="420" t="s">
        <v>291</v>
      </c>
      <c r="W355" s="355"/>
      <c r="X355" s="356"/>
      <c r="Y355" s="154"/>
      <c r="Z355" s="147"/>
      <c r="AA355" s="147"/>
      <c r="AB355" s="148"/>
      <c r="AC355" s="732"/>
      <c r="AD355" s="732"/>
      <c r="AE355" s="732"/>
      <c r="AF355" s="732"/>
      <c r="AI355" s="109" t="str">
        <f>"23:"&amp;IF(AND(I355="□",M355="□",Q355="□",U355="□"),"ketu_doctor_code:0",IF(I355="■","ketu_doctor_code:1:ketu_kangos_code:1:ketu_kshoku_code:1",
IF(M355="■","ketu_doctor_code:2","ketu_doctor_code:1")
&amp;IF(Q355="■",":ketu_kangos_code:2",":ketu_kangos_code:1")
&amp;IF(U355="■",":ketu_kshoku_code:2",":ketu_kshoku_code:1")))</f>
        <v>23:ketu_doctor_code:0</v>
      </c>
    </row>
    <row r="356" spans="1:36" s="109" customFormat="1" ht="18.75" customHeight="1" x14ac:dyDescent="0.2">
      <c r="A356" s="139"/>
      <c r="B356" s="123"/>
      <c r="C356" s="140"/>
      <c r="D356" s="141"/>
      <c r="E356" s="128"/>
      <c r="F356" s="142"/>
      <c r="G356" s="128"/>
      <c r="H356" s="364" t="s">
        <v>98</v>
      </c>
      <c r="I356" s="349" t="s">
        <v>383</v>
      </c>
      <c r="J356" s="350" t="s">
        <v>265</v>
      </c>
      <c r="K356" s="351"/>
      <c r="L356" s="352"/>
      <c r="M356" s="353" t="s">
        <v>383</v>
      </c>
      <c r="N356" s="350" t="s">
        <v>266</v>
      </c>
      <c r="O356" s="355"/>
      <c r="P356" s="355"/>
      <c r="Q356" s="355"/>
      <c r="R356" s="355"/>
      <c r="S356" s="351"/>
      <c r="T356" s="351"/>
      <c r="U356" s="351"/>
      <c r="V356" s="351"/>
      <c r="W356" s="351"/>
      <c r="X356" s="365"/>
      <c r="Y356" s="154"/>
      <c r="Z356" s="147"/>
      <c r="AA356" s="147"/>
      <c r="AB356" s="148"/>
      <c r="AC356" s="732"/>
      <c r="AD356" s="732"/>
      <c r="AE356" s="732"/>
      <c r="AF356" s="732"/>
      <c r="AI356" s="109" t="str">
        <f>"23:unitcare_code:" &amp; IF(I356="■",1,IF(M356="■",2,0))</f>
        <v>23:unitcare_code:0</v>
      </c>
    </row>
    <row r="357" spans="1:36" s="109" customFormat="1" ht="18.75" customHeight="1" x14ac:dyDescent="0.2">
      <c r="A357" s="139"/>
      <c r="B357" s="123"/>
      <c r="C357" s="248"/>
      <c r="D357" s="249"/>
      <c r="E357" s="128"/>
      <c r="F357" s="142"/>
      <c r="G357" s="143"/>
      <c r="H357" s="364" t="s">
        <v>107</v>
      </c>
      <c r="I357" s="349" t="s">
        <v>383</v>
      </c>
      <c r="J357" s="350" t="s">
        <v>395</v>
      </c>
      <c r="K357" s="351"/>
      <c r="L357" s="352"/>
      <c r="M357" s="353" t="s">
        <v>383</v>
      </c>
      <c r="N357" s="350" t="s">
        <v>396</v>
      </c>
      <c r="O357" s="351"/>
      <c r="P357" s="351"/>
      <c r="Q357" s="351"/>
      <c r="R357" s="351"/>
      <c r="S357" s="351"/>
      <c r="T357" s="351"/>
      <c r="U357" s="351"/>
      <c r="V357" s="351"/>
      <c r="W357" s="351"/>
      <c r="X357" s="365"/>
      <c r="Y357" s="154"/>
      <c r="Z357" s="147"/>
      <c r="AA357" s="147"/>
      <c r="AB357" s="148"/>
      <c r="AC357" s="732"/>
      <c r="AD357" s="732"/>
      <c r="AE357" s="732"/>
      <c r="AF357" s="732"/>
      <c r="AI357" s="109" t="str">
        <f>"23:sintaikousoku_code:" &amp; IF(I357="■",1,IF(M357="■",2,0))</f>
        <v>23:sintaikousoku_code:0</v>
      </c>
    </row>
    <row r="358" spans="1:36" s="109" customFormat="1" ht="19.5" customHeight="1" x14ac:dyDescent="0.2">
      <c r="A358" s="139"/>
      <c r="B358" s="123"/>
      <c r="C358" s="140"/>
      <c r="D358" s="141"/>
      <c r="E358" s="128"/>
      <c r="F358" s="142"/>
      <c r="G358" s="143"/>
      <c r="H358" s="155" t="s">
        <v>430</v>
      </c>
      <c r="I358" s="156" t="s">
        <v>383</v>
      </c>
      <c r="J358" s="157" t="s">
        <v>395</v>
      </c>
      <c r="K358" s="158"/>
      <c r="L358" s="159"/>
      <c r="M358" s="160" t="s">
        <v>383</v>
      </c>
      <c r="N358" s="157" t="s">
        <v>431</v>
      </c>
      <c r="O358" s="161"/>
      <c r="P358" s="157"/>
      <c r="Q358" s="162"/>
      <c r="R358" s="162"/>
      <c r="S358" s="162"/>
      <c r="T358" s="162"/>
      <c r="U358" s="162"/>
      <c r="V358" s="162"/>
      <c r="W358" s="162"/>
      <c r="X358" s="163"/>
      <c r="Y358" s="147"/>
      <c r="Z358" s="147"/>
      <c r="AA358" s="147"/>
      <c r="AB358" s="148"/>
      <c r="AC358" s="732"/>
      <c r="AD358" s="732"/>
      <c r="AE358" s="732"/>
      <c r="AF358" s="732"/>
      <c r="AI358" s="109" t="str">
        <f>"23:field223:" &amp; IF(I358="■",1,IF(M358="■",2,0))</f>
        <v>23:field223:0</v>
      </c>
    </row>
    <row r="359" spans="1:36" s="109" customFormat="1" ht="19.5" customHeight="1" x14ac:dyDescent="0.2">
      <c r="A359" s="139"/>
      <c r="B359" s="123"/>
      <c r="C359" s="140"/>
      <c r="D359" s="141"/>
      <c r="E359" s="128"/>
      <c r="F359" s="142"/>
      <c r="G359" s="143"/>
      <c r="H359" s="155" t="s">
        <v>448</v>
      </c>
      <c r="I359" s="156" t="s">
        <v>383</v>
      </c>
      <c r="J359" s="157" t="s">
        <v>395</v>
      </c>
      <c r="K359" s="158"/>
      <c r="L359" s="159"/>
      <c r="M359" s="160" t="s">
        <v>383</v>
      </c>
      <c r="N359" s="157" t="s">
        <v>431</v>
      </c>
      <c r="O359" s="161"/>
      <c r="P359" s="157"/>
      <c r="Q359" s="162"/>
      <c r="R359" s="162"/>
      <c r="S359" s="162"/>
      <c r="T359" s="162"/>
      <c r="U359" s="162"/>
      <c r="V359" s="162"/>
      <c r="W359" s="162"/>
      <c r="X359" s="163"/>
      <c r="Y359" s="147"/>
      <c r="Z359" s="147"/>
      <c r="AA359" s="147"/>
      <c r="AB359" s="148"/>
      <c r="AC359" s="732"/>
      <c r="AD359" s="732"/>
      <c r="AE359" s="732"/>
      <c r="AF359" s="732"/>
      <c r="AI359" s="109" t="str">
        <f>"23:field232:" &amp; IF(I359="■",1,IF(M359="■",2,0))</f>
        <v>23:field232:0</v>
      </c>
    </row>
    <row r="360" spans="1:36" s="109" customFormat="1" ht="18.75" customHeight="1" x14ac:dyDescent="0.2">
      <c r="A360" s="139"/>
      <c r="B360" s="123"/>
      <c r="C360" s="140"/>
      <c r="D360" s="141"/>
      <c r="E360" s="128"/>
      <c r="F360" s="142"/>
      <c r="G360" s="128"/>
      <c r="H360" s="242" t="s">
        <v>194</v>
      </c>
      <c r="I360" s="156" t="s">
        <v>383</v>
      </c>
      <c r="J360" s="157" t="s">
        <v>300</v>
      </c>
      <c r="K360" s="158"/>
      <c r="L360" s="159"/>
      <c r="M360" s="160" t="s">
        <v>383</v>
      </c>
      <c r="N360" s="157" t="s">
        <v>332</v>
      </c>
      <c r="O360" s="207"/>
      <c r="P360" s="207"/>
      <c r="Q360" s="207"/>
      <c r="R360" s="207"/>
      <c r="S360" s="158"/>
      <c r="T360" s="158"/>
      <c r="U360" s="158"/>
      <c r="V360" s="158"/>
      <c r="W360" s="158"/>
      <c r="X360" s="166"/>
      <c r="Y360" s="154"/>
      <c r="Z360" s="147"/>
      <c r="AA360" s="147"/>
      <c r="AB360" s="148"/>
      <c r="AC360" s="732"/>
      <c r="AD360" s="732"/>
      <c r="AE360" s="732"/>
      <c r="AF360" s="732"/>
      <c r="AI360" s="109" t="str">
        <f>"23:ryokan_code:" &amp; IF(I360="■",1,IF(M360="■",2,0))</f>
        <v>23:ryokan_code:0</v>
      </c>
    </row>
    <row r="361" spans="1:36" s="109" customFormat="1" ht="18.75" customHeight="1" x14ac:dyDescent="0.2">
      <c r="A361" s="139"/>
      <c r="B361" s="123"/>
      <c r="C361" s="140"/>
      <c r="D361" s="141"/>
      <c r="E361" s="128"/>
      <c r="F361" s="142"/>
      <c r="G361" s="128"/>
      <c r="H361" s="242" t="s">
        <v>101</v>
      </c>
      <c r="I361" s="156" t="s">
        <v>383</v>
      </c>
      <c r="J361" s="157" t="s">
        <v>428</v>
      </c>
      <c r="K361" s="158"/>
      <c r="L361" s="159"/>
      <c r="M361" s="160" t="s">
        <v>383</v>
      </c>
      <c r="N361" s="157" t="s">
        <v>333</v>
      </c>
      <c r="O361" s="162"/>
      <c r="P361" s="162"/>
      <c r="Q361" s="162"/>
      <c r="R361" s="207"/>
      <c r="S361" s="158"/>
      <c r="T361" s="158"/>
      <c r="U361" s="158"/>
      <c r="V361" s="158"/>
      <c r="W361" s="158"/>
      <c r="X361" s="166"/>
      <c r="Y361" s="154"/>
      <c r="Z361" s="147"/>
      <c r="AA361" s="147"/>
      <c r="AB361" s="148"/>
      <c r="AC361" s="732"/>
      <c r="AD361" s="732"/>
      <c r="AE361" s="732"/>
      <c r="AF361" s="732"/>
      <c r="AI361" s="109" t="str">
        <f>"23:doctor_haiti_code:" &amp; IF(I361="■",1,IF(M361="■",2,0))</f>
        <v>23:doctor_haiti_code:0</v>
      </c>
    </row>
    <row r="362" spans="1:36" s="109" customFormat="1" ht="18.75" customHeight="1" x14ac:dyDescent="0.2">
      <c r="A362" s="139"/>
      <c r="B362" s="123"/>
      <c r="C362" s="140"/>
      <c r="D362" s="141"/>
      <c r="E362" s="128"/>
      <c r="F362" s="142"/>
      <c r="G362" s="128"/>
      <c r="H362" s="242" t="s">
        <v>110</v>
      </c>
      <c r="I362" s="156" t="s">
        <v>383</v>
      </c>
      <c r="J362" s="157" t="s">
        <v>250</v>
      </c>
      <c r="K362" s="158"/>
      <c r="L362" s="160" t="s">
        <v>383</v>
      </c>
      <c r="M362" s="157" t="s">
        <v>267</v>
      </c>
      <c r="N362" s="162"/>
      <c r="O362" s="162"/>
      <c r="P362" s="162"/>
      <c r="Q362" s="162"/>
      <c r="R362" s="162"/>
      <c r="S362" s="158"/>
      <c r="T362" s="158"/>
      <c r="U362" s="158"/>
      <c r="V362" s="158"/>
      <c r="W362" s="158"/>
      <c r="X362" s="166"/>
      <c r="Y362" s="154"/>
      <c r="Z362" s="147"/>
      <c r="AA362" s="147"/>
      <c r="AB362" s="148"/>
      <c r="AC362" s="732"/>
      <c r="AD362" s="732"/>
      <c r="AE362" s="732"/>
      <c r="AF362" s="732"/>
      <c r="AI362" s="109" t="str">
        <f>"23:jyakuninti_uke_code:" &amp; IF(I362="■",1,IF(L362="■",2,0))</f>
        <v>23:jyakuninti_uke_code:0</v>
      </c>
    </row>
    <row r="363" spans="1:36" s="109" customFormat="1" ht="18.75" customHeight="1" x14ac:dyDescent="0.2">
      <c r="A363" s="139"/>
      <c r="B363" s="123"/>
      <c r="C363" s="140"/>
      <c r="D363" s="141"/>
      <c r="E363" s="128"/>
      <c r="F363" s="142"/>
      <c r="G363" s="128"/>
      <c r="H363" s="242" t="s">
        <v>95</v>
      </c>
      <c r="I363" s="156" t="s">
        <v>383</v>
      </c>
      <c r="J363" s="157" t="s">
        <v>265</v>
      </c>
      <c r="K363" s="158"/>
      <c r="L363" s="159"/>
      <c r="M363" s="160" t="s">
        <v>383</v>
      </c>
      <c r="N363" s="157" t="s">
        <v>266</v>
      </c>
      <c r="O363" s="162"/>
      <c r="P363" s="162"/>
      <c r="Q363" s="162"/>
      <c r="R363" s="162"/>
      <c r="S363" s="158"/>
      <c r="T363" s="158"/>
      <c r="U363" s="158"/>
      <c r="V363" s="158"/>
      <c r="W363" s="158"/>
      <c r="X363" s="166"/>
      <c r="Y363" s="154"/>
      <c r="Z363" s="147"/>
      <c r="AA363" s="147"/>
      <c r="AB363" s="148"/>
      <c r="AC363" s="732"/>
      <c r="AD363" s="732"/>
      <c r="AE363" s="732"/>
      <c r="AF363" s="732"/>
      <c r="AI363" s="109" t="str">
        <f>"23:sougei_code:" &amp; IF(I363="■",1,IF(M363="■",2,0))</f>
        <v>23:sougei_code:0</v>
      </c>
    </row>
    <row r="364" spans="1:36" s="109" customFormat="1" ht="19.5" customHeight="1" x14ac:dyDescent="0.2">
      <c r="A364" s="125" t="s">
        <v>383</v>
      </c>
      <c r="B364" s="123">
        <v>23</v>
      </c>
      <c r="C364" s="140" t="s">
        <v>193</v>
      </c>
      <c r="D364" s="118" t="s">
        <v>383</v>
      </c>
      <c r="E364" s="128" t="s">
        <v>360</v>
      </c>
      <c r="F364" s="118" t="s">
        <v>383</v>
      </c>
      <c r="G364" s="128" t="s">
        <v>358</v>
      </c>
      <c r="H364" s="155" t="s">
        <v>433</v>
      </c>
      <c r="I364" s="156" t="s">
        <v>383</v>
      </c>
      <c r="J364" s="157" t="s">
        <v>250</v>
      </c>
      <c r="K364" s="157"/>
      <c r="L364" s="160" t="s">
        <v>383</v>
      </c>
      <c r="M364" s="157" t="s">
        <v>267</v>
      </c>
      <c r="N364" s="157"/>
      <c r="O364" s="162"/>
      <c r="P364" s="157"/>
      <c r="Q364" s="162"/>
      <c r="R364" s="162"/>
      <c r="S364" s="162"/>
      <c r="T364" s="162"/>
      <c r="U364" s="162"/>
      <c r="V364" s="162"/>
      <c r="W364" s="162"/>
      <c r="X364" s="163"/>
      <c r="Y364" s="147"/>
      <c r="Z364" s="147"/>
      <c r="AA364" s="147"/>
      <c r="AB364" s="148"/>
      <c r="AC364" s="732"/>
      <c r="AD364" s="732"/>
      <c r="AE364" s="732"/>
      <c r="AF364" s="732"/>
      <c r="AI364" s="109" t="str">
        <f>"23:field224:" &amp; IF(I364="■",1,IF(L364="■",2,0))</f>
        <v>23:field224:0</v>
      </c>
    </row>
    <row r="365" spans="1:36" s="109" customFormat="1" ht="18.75" customHeight="1" x14ac:dyDescent="0.2">
      <c r="A365" s="139"/>
      <c r="B365" s="123"/>
      <c r="C365" s="140"/>
      <c r="D365" s="118" t="s">
        <v>383</v>
      </c>
      <c r="E365" s="128" t="s">
        <v>361</v>
      </c>
      <c r="F365" s="118" t="s">
        <v>383</v>
      </c>
      <c r="G365" s="128" t="s">
        <v>359</v>
      </c>
      <c r="H365" s="242" t="s">
        <v>112</v>
      </c>
      <c r="I365" s="156" t="s">
        <v>383</v>
      </c>
      <c r="J365" s="157" t="s">
        <v>250</v>
      </c>
      <c r="K365" s="158"/>
      <c r="L365" s="160" t="s">
        <v>383</v>
      </c>
      <c r="M365" s="157" t="s">
        <v>267</v>
      </c>
      <c r="N365" s="162"/>
      <c r="O365" s="162"/>
      <c r="P365" s="162"/>
      <c r="Q365" s="162"/>
      <c r="R365" s="162"/>
      <c r="S365" s="158"/>
      <c r="T365" s="158"/>
      <c r="U365" s="158"/>
      <c r="V365" s="158"/>
      <c r="W365" s="158"/>
      <c r="X365" s="166"/>
      <c r="Y365" s="154"/>
      <c r="Z365" s="147"/>
      <c r="AA365" s="147"/>
      <c r="AB365" s="148"/>
      <c r="AC365" s="732"/>
      <c r="AD365" s="732"/>
      <c r="AE365" s="732"/>
      <c r="AF365" s="732"/>
      <c r="AI365" s="109" t="str">
        <f>"23:ryouyoushoku_code:" &amp; IF(I365="■",1,IF(L365="■",2,0))</f>
        <v>23:ryouyoushoku_code:0</v>
      </c>
    </row>
    <row r="366" spans="1:36" s="109" customFormat="1" ht="18.75" customHeight="1" x14ac:dyDescent="0.2">
      <c r="A366" s="139"/>
      <c r="B366" s="123"/>
      <c r="C366" s="140"/>
      <c r="D366" s="141"/>
      <c r="E366" s="128"/>
      <c r="F366" s="141"/>
      <c r="G366" s="128"/>
      <c r="H366" s="242" t="s">
        <v>184</v>
      </c>
      <c r="I366" s="156" t="s">
        <v>383</v>
      </c>
      <c r="J366" s="157" t="s">
        <v>250</v>
      </c>
      <c r="K366" s="157"/>
      <c r="L366" s="160" t="s">
        <v>383</v>
      </c>
      <c r="M366" s="157" t="s">
        <v>251</v>
      </c>
      <c r="N366" s="157"/>
      <c r="O366" s="160" t="s">
        <v>383</v>
      </c>
      <c r="P366" s="157" t="s">
        <v>252</v>
      </c>
      <c r="Q366" s="162"/>
      <c r="R366" s="162"/>
      <c r="S366" s="162"/>
      <c r="T366" s="162"/>
      <c r="U366" s="162"/>
      <c r="V366" s="162"/>
      <c r="W366" s="162"/>
      <c r="X366" s="163"/>
      <c r="Y366" s="154"/>
      <c r="Z366" s="147"/>
      <c r="AA366" s="147"/>
      <c r="AB366" s="148"/>
      <c r="AC366" s="732"/>
      <c r="AD366" s="732"/>
      <c r="AE366" s="732"/>
      <c r="AF366" s="732"/>
      <c r="AI366" s="109" t="str">
        <f>"23:ninti_senmoncare_code:" &amp; IF(I366="■",1,IF(O366="■",3,IF(L366="■",2,0)))</f>
        <v>23:ninti_senmoncare_code:0</v>
      </c>
    </row>
    <row r="367" spans="1:36" s="109" customFormat="1" ht="18.75" customHeight="1" x14ac:dyDescent="0.2">
      <c r="A367" s="139"/>
      <c r="B367" s="123"/>
      <c r="C367" s="140"/>
      <c r="D367" s="141"/>
      <c r="E367" s="128"/>
      <c r="F367" s="142"/>
      <c r="G367" s="128"/>
      <c r="H367" s="250" t="s">
        <v>442</v>
      </c>
      <c r="I367" s="156" t="s">
        <v>383</v>
      </c>
      <c r="J367" s="157" t="s">
        <v>250</v>
      </c>
      <c r="K367" s="157"/>
      <c r="L367" s="160" t="s">
        <v>383</v>
      </c>
      <c r="M367" s="157" t="s">
        <v>251</v>
      </c>
      <c r="N367" s="157"/>
      <c r="O367" s="160" t="s">
        <v>383</v>
      </c>
      <c r="P367" s="157" t="s">
        <v>252</v>
      </c>
      <c r="Q367" s="162"/>
      <c r="R367" s="162"/>
      <c r="S367" s="162"/>
      <c r="T367" s="162"/>
      <c r="U367" s="251"/>
      <c r="V367" s="251"/>
      <c r="W367" s="251"/>
      <c r="X367" s="252"/>
      <c r="Y367" s="154"/>
      <c r="Z367" s="147"/>
      <c r="AA367" s="147"/>
      <c r="AB367" s="148"/>
      <c r="AC367" s="732"/>
      <c r="AD367" s="732"/>
      <c r="AE367" s="732"/>
      <c r="AF367" s="732"/>
      <c r="AI367" s="109" t="str">
        <f>"23:field225:" &amp; IF(I367="■",1,IF(L367="■",2,IF(O367="■",3,0)))</f>
        <v>23:field225:0</v>
      </c>
    </row>
    <row r="368" spans="1:36" s="109" customFormat="1" ht="18.75" customHeight="1" x14ac:dyDescent="0.2">
      <c r="A368" s="139"/>
      <c r="B368" s="123"/>
      <c r="C368" s="140"/>
      <c r="D368" s="141"/>
      <c r="E368" s="128"/>
      <c r="F368" s="142"/>
      <c r="G368" s="128"/>
      <c r="H368" s="741" t="s">
        <v>102</v>
      </c>
      <c r="I368" s="175" t="s">
        <v>383</v>
      </c>
      <c r="J368" s="168" t="s">
        <v>320</v>
      </c>
      <c r="K368" s="168"/>
      <c r="L368" s="251"/>
      <c r="M368" s="251"/>
      <c r="N368" s="251"/>
      <c r="O368" s="251"/>
      <c r="P368" s="206" t="s">
        <v>383</v>
      </c>
      <c r="Q368" s="168" t="s">
        <v>321</v>
      </c>
      <c r="R368" s="251"/>
      <c r="S368" s="251"/>
      <c r="T368" s="251"/>
      <c r="U368" s="251"/>
      <c r="V368" s="251"/>
      <c r="W368" s="251"/>
      <c r="X368" s="252"/>
      <c r="Y368" s="154"/>
      <c r="Z368" s="147"/>
      <c r="AA368" s="147"/>
      <c r="AB368" s="148"/>
      <c r="AC368" s="732"/>
      <c r="AD368" s="732"/>
      <c r="AE368" s="732"/>
      <c r="AF368" s="732"/>
      <c r="AI368" s="109" t="str">
        <f>"23:" &amp; IF(AND(I368="□",P368="□",I369="□"),"tokusin_jyusho_code:0:tokusin_yakuzai_code:0:shuudan_comu_code:0",IF(I368="■","tokusin_jyusho_code:2","tokusin_jyusho_code:1")
&amp;IF(P368="■",":tokusin_yakuzai_code:2",":tokusin_yakuzai_code:1")
&amp;IF(I369="■",":shuudan_comu_code:2",":shuudan_comu_code:1"))</f>
        <v>23:tokusin_jyusho_code:0:tokusin_yakuzai_code:0:shuudan_comu_code:0</v>
      </c>
    </row>
    <row r="369" spans="1:36" s="109" customFormat="1" ht="18.75" customHeight="1" x14ac:dyDescent="0.2">
      <c r="A369" s="139"/>
      <c r="B369" s="123"/>
      <c r="C369" s="140"/>
      <c r="D369" s="141"/>
      <c r="E369" s="128"/>
      <c r="F369" s="142"/>
      <c r="G369" s="128"/>
      <c r="H369" s="742"/>
      <c r="I369" s="150" t="s">
        <v>383</v>
      </c>
      <c r="J369" s="169" t="s">
        <v>334</v>
      </c>
      <c r="K369" s="152"/>
      <c r="L369" s="152"/>
      <c r="M369" s="152"/>
      <c r="N369" s="152"/>
      <c r="O369" s="152"/>
      <c r="P369" s="152"/>
      <c r="Q369" s="151"/>
      <c r="R369" s="152"/>
      <c r="S369" s="152"/>
      <c r="T369" s="152"/>
      <c r="U369" s="152"/>
      <c r="V369" s="152"/>
      <c r="W369" s="152"/>
      <c r="X369" s="153"/>
      <c r="Y369" s="154"/>
      <c r="Z369" s="147"/>
      <c r="AA369" s="147"/>
      <c r="AB369" s="148"/>
      <c r="AC369" s="732"/>
      <c r="AD369" s="732"/>
      <c r="AE369" s="732"/>
      <c r="AF369" s="732"/>
    </row>
    <row r="370" spans="1:36" s="109" customFormat="1" ht="18.75" customHeight="1" x14ac:dyDescent="0.2">
      <c r="A370" s="139"/>
      <c r="B370" s="123"/>
      <c r="C370" s="140"/>
      <c r="D370" s="141"/>
      <c r="E370" s="128"/>
      <c r="F370" s="142"/>
      <c r="G370" s="128"/>
      <c r="H370" s="741" t="s">
        <v>103</v>
      </c>
      <c r="I370" s="175" t="s">
        <v>383</v>
      </c>
      <c r="J370" s="168" t="s">
        <v>335</v>
      </c>
      <c r="K370" s="181"/>
      <c r="L370" s="214"/>
      <c r="M370" s="206" t="s">
        <v>383</v>
      </c>
      <c r="N370" s="168" t="s">
        <v>336</v>
      </c>
      <c r="O370" s="251"/>
      <c r="P370" s="251"/>
      <c r="Q370" s="206" t="s">
        <v>383</v>
      </c>
      <c r="R370" s="168" t="s">
        <v>337</v>
      </c>
      <c r="S370" s="251"/>
      <c r="T370" s="251"/>
      <c r="U370" s="251"/>
      <c r="V370" s="251"/>
      <c r="W370" s="251"/>
      <c r="X370" s="252"/>
      <c r="Y370" s="154"/>
      <c r="Z370" s="147"/>
      <c r="AA370" s="147"/>
      <c r="AB370" s="148"/>
      <c r="AC370" s="732"/>
      <c r="AD370" s="732"/>
      <c r="AE370" s="732"/>
      <c r="AF370" s="732"/>
      <c r="AI370" s="109" t="str">
        <f>"23:"&amp;IF(AND(I370="□",M370="□",Q370="□",I371="□",Q371="□"),"koriha_rryoho1_code:0:koriha_sryoho_code:0:koriha_gengo_code:0:riha_seisin_code:0:koriha_other_code:0",IF(I370="■","koriha_rryoho1_code:2","koriha_rryoho1_code:1")
&amp;IF(M370="■",":koriha_sryoho_code:2",":koriha_sryoho_code:1")
&amp;IF(Q370="■",":koriha_gengo_code:2",":koriha_gengo_code:1")
&amp;IF(I371="■",":riha_seisin_code:2",":riha_seisin_code:1")
&amp;IF(Q371="■",":koriha_other_code:2",":koriha_other_code:1"))</f>
        <v>23:koriha_rryoho1_code:0:koriha_sryoho_code:0:koriha_gengo_code:0:riha_seisin_code:0:koriha_other_code:0</v>
      </c>
    </row>
    <row r="371" spans="1:36" s="109" customFormat="1" ht="18.75" customHeight="1" x14ac:dyDescent="0.2">
      <c r="A371" s="139"/>
      <c r="B371" s="123"/>
      <c r="C371" s="140"/>
      <c r="D371" s="141"/>
      <c r="E371" s="128"/>
      <c r="F371" s="142"/>
      <c r="G371" s="128"/>
      <c r="H371" s="742"/>
      <c r="I371" s="150" t="s">
        <v>383</v>
      </c>
      <c r="J371" s="169" t="s">
        <v>338</v>
      </c>
      <c r="K371" s="152"/>
      <c r="L371" s="152"/>
      <c r="M371" s="152"/>
      <c r="N371" s="152"/>
      <c r="O371" s="152"/>
      <c r="P371" s="152"/>
      <c r="Q371" s="203" t="s">
        <v>383</v>
      </c>
      <c r="R371" s="169" t="s">
        <v>339</v>
      </c>
      <c r="S371" s="151"/>
      <c r="T371" s="152"/>
      <c r="U371" s="152"/>
      <c r="V371" s="152"/>
      <c r="W371" s="152"/>
      <c r="X371" s="153"/>
      <c r="Y371" s="154"/>
      <c r="Z371" s="147"/>
      <c r="AA371" s="147"/>
      <c r="AB371" s="148"/>
      <c r="AC371" s="732"/>
      <c r="AD371" s="732"/>
      <c r="AE371" s="732"/>
      <c r="AF371" s="732"/>
    </row>
    <row r="372" spans="1:36" s="109" customFormat="1" ht="18.75" customHeight="1" x14ac:dyDescent="0.2">
      <c r="A372" s="139"/>
      <c r="B372" s="123"/>
      <c r="C372" s="140"/>
      <c r="D372" s="141"/>
      <c r="E372" s="128"/>
      <c r="F372" s="142"/>
      <c r="G372" s="128"/>
      <c r="H372" s="239" t="s">
        <v>118</v>
      </c>
      <c r="I372" s="156" t="s">
        <v>383</v>
      </c>
      <c r="J372" s="157" t="s">
        <v>250</v>
      </c>
      <c r="K372" s="157"/>
      <c r="L372" s="160" t="s">
        <v>383</v>
      </c>
      <c r="M372" s="157" t="s">
        <v>258</v>
      </c>
      <c r="N372" s="157"/>
      <c r="O372" s="160" t="s">
        <v>383</v>
      </c>
      <c r="P372" s="157" t="s">
        <v>259</v>
      </c>
      <c r="Q372" s="207"/>
      <c r="R372" s="160" t="s">
        <v>383</v>
      </c>
      <c r="S372" s="157" t="s">
        <v>283</v>
      </c>
      <c r="T372" s="207"/>
      <c r="U372" s="207"/>
      <c r="V372" s="207"/>
      <c r="W372" s="207"/>
      <c r="X372" s="208"/>
      <c r="Y372" s="154"/>
      <c r="Z372" s="147"/>
      <c r="AA372" s="147"/>
      <c r="AB372" s="148"/>
      <c r="AC372" s="732"/>
      <c r="AD372" s="732"/>
      <c r="AE372" s="732"/>
      <c r="AF372" s="732"/>
      <c r="AI372" s="109" t="str">
        <f>"23:serteikyo_kyoka_code:" &amp; IF(I372="■",1,IF(L372="■",6,IF(O372="■",5,IF(R372="■",7,0))))</f>
        <v>23:serteikyo_kyoka_code:0</v>
      </c>
    </row>
    <row r="373" spans="1:36" s="109" customFormat="1" ht="18.75" customHeight="1" x14ac:dyDescent="0.2">
      <c r="A373" s="139"/>
      <c r="B373" s="123"/>
      <c r="C373" s="140"/>
      <c r="D373" s="141"/>
      <c r="E373" s="128"/>
      <c r="F373" s="142"/>
      <c r="G373" s="128"/>
      <c r="H373" s="713" t="s">
        <v>801</v>
      </c>
      <c r="I373" s="725" t="s">
        <v>383</v>
      </c>
      <c r="J373" s="726" t="s">
        <v>250</v>
      </c>
      <c r="K373" s="726"/>
      <c r="L373" s="727" t="s">
        <v>383</v>
      </c>
      <c r="M373" s="726" t="s">
        <v>267</v>
      </c>
      <c r="N373" s="726"/>
      <c r="O373" s="168"/>
      <c r="P373" s="168"/>
      <c r="Q373" s="168"/>
      <c r="R373" s="168"/>
      <c r="S373" s="168"/>
      <c r="T373" s="168"/>
      <c r="U373" s="168"/>
      <c r="V373" s="168"/>
      <c r="W373" s="168"/>
      <c r="X373" s="173"/>
      <c r="Y373" s="154"/>
      <c r="Z373" s="147"/>
      <c r="AA373" s="147"/>
      <c r="AB373" s="148"/>
      <c r="AC373" s="732"/>
      <c r="AD373" s="732"/>
      <c r="AE373" s="732"/>
      <c r="AF373" s="732"/>
      <c r="AI373" s="109" t="str">
        <f>"23:field221:" &amp; IF(I373="■",1,IF(L373="■",2,0))</f>
        <v>23:field221:0</v>
      </c>
    </row>
    <row r="374" spans="1:36" s="109" customFormat="1" ht="18.75" customHeight="1" x14ac:dyDescent="0.2">
      <c r="A374" s="139"/>
      <c r="B374" s="670"/>
      <c r="C374" s="140"/>
      <c r="D374" s="141"/>
      <c r="E374" s="128"/>
      <c r="F374" s="142"/>
      <c r="G374" s="128"/>
      <c r="H374" s="737"/>
      <c r="I374" s="725"/>
      <c r="J374" s="726"/>
      <c r="K374" s="726"/>
      <c r="L374" s="727"/>
      <c r="M374" s="726"/>
      <c r="N374" s="726"/>
      <c r="O374" s="169"/>
      <c r="P374" s="169"/>
      <c r="Q374" s="169"/>
      <c r="R374" s="169"/>
      <c r="S374" s="169"/>
      <c r="T374" s="169"/>
      <c r="U374" s="169"/>
      <c r="V374" s="169"/>
      <c r="W374" s="169"/>
      <c r="X374" s="170"/>
      <c r="Y374" s="154"/>
      <c r="Z374" s="147"/>
      <c r="AA374" s="147"/>
      <c r="AB374" s="148"/>
      <c r="AC374" s="732"/>
      <c r="AD374" s="732"/>
      <c r="AE374" s="732"/>
      <c r="AF374" s="732"/>
    </row>
    <row r="375" spans="1:36" s="621" customFormat="1" ht="18.75" customHeight="1" x14ac:dyDescent="0.2">
      <c r="A375" s="139"/>
      <c r="B375" s="670"/>
      <c r="C375" s="140"/>
      <c r="D375" s="141"/>
      <c r="E375" s="128"/>
      <c r="F375" s="142"/>
      <c r="G375" s="128"/>
      <c r="H375" s="713" t="s">
        <v>790</v>
      </c>
      <c r="I375" s="642" t="s">
        <v>383</v>
      </c>
      <c r="J375" s="616" t="s">
        <v>627</v>
      </c>
      <c r="K375" s="616"/>
      <c r="L375" s="615"/>
      <c r="M375" s="644" t="s">
        <v>383</v>
      </c>
      <c r="N375" s="616" t="s">
        <v>791</v>
      </c>
      <c r="O375" s="617"/>
      <c r="P375" s="615"/>
      <c r="Q375" s="644" t="s">
        <v>383</v>
      </c>
      <c r="R375" s="618" t="s">
        <v>802</v>
      </c>
      <c r="S375" s="615"/>
      <c r="T375" s="615"/>
      <c r="U375" s="615"/>
      <c r="V375" s="618"/>
      <c r="W375" s="619"/>
      <c r="X375" s="620"/>
      <c r="Y375" s="154"/>
      <c r="Z375" s="147"/>
      <c r="AA375" s="147"/>
      <c r="AB375" s="148"/>
      <c r="AC375" s="733"/>
      <c r="AD375" s="733"/>
      <c r="AE375" s="733"/>
      <c r="AF375" s="733"/>
    </row>
    <row r="376" spans="1:36" s="621" customFormat="1" ht="18.75" customHeight="1" x14ac:dyDescent="0.2">
      <c r="A376" s="139"/>
      <c r="B376" s="670"/>
      <c r="C376" s="140"/>
      <c r="D376" s="141"/>
      <c r="E376" s="128"/>
      <c r="F376" s="142"/>
      <c r="G376" s="128"/>
      <c r="H376" s="714"/>
      <c r="I376" s="643" t="s">
        <v>383</v>
      </c>
      <c r="J376" s="623" t="s">
        <v>803</v>
      </c>
      <c r="K376" s="623"/>
      <c r="L376" s="622"/>
      <c r="M376" s="211" t="s">
        <v>383</v>
      </c>
      <c r="N376" s="623" t="s">
        <v>804</v>
      </c>
      <c r="O376" s="624"/>
      <c r="P376" s="622"/>
      <c r="Q376" s="211" t="s">
        <v>383</v>
      </c>
      <c r="R376" s="623" t="s">
        <v>795</v>
      </c>
      <c r="S376" s="622"/>
      <c r="T376" s="623"/>
      <c r="U376" s="211" t="s">
        <v>383</v>
      </c>
      <c r="V376" s="623" t="s">
        <v>796</v>
      </c>
      <c r="W376" s="625"/>
      <c r="X376" s="626"/>
      <c r="Y376" s="154"/>
      <c r="Z376" s="147"/>
      <c r="AA376" s="147"/>
      <c r="AB376" s="148"/>
      <c r="AC376" s="733"/>
      <c r="AD376" s="733"/>
      <c r="AE376" s="733"/>
      <c r="AF376" s="733"/>
    </row>
    <row r="377" spans="1:36" s="109" customFormat="1" ht="18.75" customHeight="1" x14ac:dyDescent="0.2">
      <c r="A377" s="129"/>
      <c r="B377" s="116"/>
      <c r="C377" s="272"/>
      <c r="D377" s="273"/>
      <c r="E377" s="121"/>
      <c r="F377" s="132"/>
      <c r="G377" s="133"/>
      <c r="H377" s="366" t="s">
        <v>107</v>
      </c>
      <c r="I377" s="367" t="s">
        <v>383</v>
      </c>
      <c r="J377" s="368" t="s">
        <v>395</v>
      </c>
      <c r="K377" s="369"/>
      <c r="L377" s="370"/>
      <c r="M377" s="371" t="s">
        <v>383</v>
      </c>
      <c r="N377" s="368" t="s">
        <v>396</v>
      </c>
      <c r="O377" s="369"/>
      <c r="P377" s="369"/>
      <c r="Q377" s="369"/>
      <c r="R377" s="369"/>
      <c r="S377" s="369"/>
      <c r="T377" s="369"/>
      <c r="U377" s="369"/>
      <c r="V377" s="369"/>
      <c r="W377" s="369"/>
      <c r="X377" s="421"/>
      <c r="Y377" s="134" t="s">
        <v>383</v>
      </c>
      <c r="Z377" s="119" t="s">
        <v>249</v>
      </c>
      <c r="AA377" s="294"/>
      <c r="AB377" s="137"/>
      <c r="AC377" s="675"/>
      <c r="AD377" s="748"/>
      <c r="AE377" s="748"/>
      <c r="AF377" s="749"/>
      <c r="AG377" s="109" t="str">
        <f>"ser_code = '" &amp; IF(A386="■",23,"") &amp; "'"</f>
        <v>ser_code = ''</v>
      </c>
      <c r="AH377" s="109" t="str">
        <f>"23:jininkbn_code:"&amp;IF(F383="■",1,IF(F385="■",3,IF(F387="■",4,IF(F389="■",2,0))))</f>
        <v>23:jininkbn_code:0</v>
      </c>
      <c r="AI377" s="109" t="str">
        <f>"23:sintaikousoku_code:" &amp; IF(I377="■",1,IF(M377="■",2,0))</f>
        <v>23:sintaikousoku_code:0</v>
      </c>
      <c r="AJ377" s="109" t="str">
        <f>"23:field203:" &amp; IF(Y377="■",1,IF(Y378="■",2,0))</f>
        <v>23:field203:0</v>
      </c>
    </row>
    <row r="378" spans="1:36" s="109" customFormat="1" ht="19.5" customHeight="1" x14ac:dyDescent="0.2">
      <c r="A378" s="139"/>
      <c r="B378" s="123"/>
      <c r="C378" s="140"/>
      <c r="D378" s="141"/>
      <c r="E378" s="128"/>
      <c r="F378" s="142"/>
      <c r="G378" s="143"/>
      <c r="H378" s="257" t="s">
        <v>430</v>
      </c>
      <c r="I378" s="150" t="s">
        <v>383</v>
      </c>
      <c r="J378" s="169" t="s">
        <v>395</v>
      </c>
      <c r="K378" s="179"/>
      <c r="L378" s="254"/>
      <c r="M378" s="203" t="s">
        <v>383</v>
      </c>
      <c r="N378" s="169" t="s">
        <v>431</v>
      </c>
      <c r="O378" s="177"/>
      <c r="P378" s="169"/>
      <c r="Q378" s="152"/>
      <c r="R378" s="152"/>
      <c r="S378" s="152"/>
      <c r="T378" s="152"/>
      <c r="U378" s="152"/>
      <c r="V378" s="152"/>
      <c r="W378" s="152"/>
      <c r="X378" s="153"/>
      <c r="Y378" s="118" t="s">
        <v>383</v>
      </c>
      <c r="Z378" s="126" t="s">
        <v>255</v>
      </c>
      <c r="AA378" s="126"/>
      <c r="AB378" s="148"/>
      <c r="AC378" s="750"/>
      <c r="AD378" s="751"/>
      <c r="AE378" s="751"/>
      <c r="AF378" s="752"/>
      <c r="AG378" s="109" t="str">
        <f>"23:sisetukbn_code:"&amp;IF(D386="■","2",0)</f>
        <v>23:sisetukbn_code:0</v>
      </c>
      <c r="AI378" s="109" t="str">
        <f>"23:field223:" &amp; IF(I378="■",1,IF(M378="■",2,0))</f>
        <v>23:field223:0</v>
      </c>
    </row>
    <row r="379" spans="1:36" s="109" customFormat="1" ht="19.5" customHeight="1" x14ac:dyDescent="0.2">
      <c r="A379" s="139"/>
      <c r="B379" s="123"/>
      <c r="C379" s="140"/>
      <c r="D379" s="141"/>
      <c r="E379" s="128"/>
      <c r="F379" s="142"/>
      <c r="G379" s="143"/>
      <c r="H379" s="155" t="s">
        <v>448</v>
      </c>
      <c r="I379" s="156" t="s">
        <v>383</v>
      </c>
      <c r="J379" s="157" t="s">
        <v>395</v>
      </c>
      <c r="K379" s="158"/>
      <c r="L379" s="159"/>
      <c r="M379" s="160" t="s">
        <v>383</v>
      </c>
      <c r="N379" s="157" t="s">
        <v>431</v>
      </c>
      <c r="O379" s="161"/>
      <c r="P379" s="157"/>
      <c r="Q379" s="162"/>
      <c r="R379" s="162"/>
      <c r="S379" s="162"/>
      <c r="T379" s="162"/>
      <c r="U379" s="162"/>
      <c r="V379" s="162"/>
      <c r="W379" s="162"/>
      <c r="X379" s="163"/>
      <c r="Y379" s="108"/>
      <c r="Z379" s="108"/>
      <c r="AA379" s="147"/>
      <c r="AB379" s="148"/>
      <c r="AC379" s="750"/>
      <c r="AD379" s="751"/>
      <c r="AE379" s="751"/>
      <c r="AF379" s="752"/>
      <c r="AI379" s="109" t="str">
        <f>"23:field232:" &amp; IF(I379="■",1,IF(M379="■",2,0))</f>
        <v>23:field232:0</v>
      </c>
    </row>
    <row r="380" spans="1:36" s="109" customFormat="1" ht="18.75" customHeight="1" x14ac:dyDescent="0.2">
      <c r="A380" s="139"/>
      <c r="B380" s="123"/>
      <c r="C380" s="140"/>
      <c r="D380" s="141"/>
      <c r="E380" s="143"/>
      <c r="F380" s="141"/>
      <c r="G380" s="128"/>
      <c r="H380" s="227" t="s">
        <v>117</v>
      </c>
      <c r="I380" s="150" t="s">
        <v>383</v>
      </c>
      <c r="J380" s="169" t="s">
        <v>300</v>
      </c>
      <c r="K380" s="179"/>
      <c r="L380" s="254"/>
      <c r="M380" s="203" t="s">
        <v>383</v>
      </c>
      <c r="N380" s="169" t="s">
        <v>332</v>
      </c>
      <c r="O380" s="151"/>
      <c r="P380" s="179"/>
      <c r="Q380" s="179"/>
      <c r="R380" s="179"/>
      <c r="S380" s="179"/>
      <c r="T380" s="179"/>
      <c r="U380" s="179"/>
      <c r="V380" s="179"/>
      <c r="W380" s="179"/>
      <c r="X380" s="180"/>
      <c r="Y380" s="108"/>
      <c r="Z380" s="108"/>
      <c r="AA380" s="108"/>
      <c r="AB380" s="148"/>
      <c r="AC380" s="750"/>
      <c r="AD380" s="751"/>
      <c r="AE380" s="751"/>
      <c r="AF380" s="752"/>
      <c r="AI380" s="109" t="str">
        <f>"23:setubi_kijyun_code:" &amp; IF(I380="■",1,IF(M380="■",2,0))</f>
        <v>23:setubi_kijyun_code:0</v>
      </c>
    </row>
    <row r="381" spans="1:36" s="109" customFormat="1" ht="18.75" customHeight="1" x14ac:dyDescent="0.2">
      <c r="A381" s="139"/>
      <c r="B381" s="123"/>
      <c r="C381" s="140"/>
      <c r="D381" s="141"/>
      <c r="E381" s="143"/>
      <c r="F381" s="141"/>
      <c r="G381" s="128"/>
      <c r="H381" s="242" t="s">
        <v>146</v>
      </c>
      <c r="I381" s="156" t="s">
        <v>383</v>
      </c>
      <c r="J381" s="157" t="s">
        <v>300</v>
      </c>
      <c r="K381" s="158"/>
      <c r="L381" s="159"/>
      <c r="M381" s="160" t="s">
        <v>383</v>
      </c>
      <c r="N381" s="157" t="s">
        <v>332</v>
      </c>
      <c r="O381" s="207"/>
      <c r="P381" s="158"/>
      <c r="Q381" s="158"/>
      <c r="R381" s="158"/>
      <c r="S381" s="158"/>
      <c r="T381" s="158"/>
      <c r="U381" s="158"/>
      <c r="V381" s="158"/>
      <c r="W381" s="158"/>
      <c r="X381" s="166"/>
      <c r="Y381" s="154"/>
      <c r="Z381" s="147"/>
      <c r="AA381" s="147"/>
      <c r="AB381" s="148"/>
      <c r="AC381" s="750"/>
      <c r="AD381" s="751"/>
      <c r="AE381" s="751"/>
      <c r="AF381" s="752"/>
      <c r="AI381" s="109" t="str">
        <f>"23:field163:" &amp; IF(I381="■",1,IF(M381="■",2,0))</f>
        <v>23:field163:0</v>
      </c>
    </row>
    <row r="382" spans="1:36" s="109" customFormat="1" ht="18.75" customHeight="1" x14ac:dyDescent="0.2">
      <c r="A382" s="139"/>
      <c r="B382" s="123"/>
      <c r="C382" s="140"/>
      <c r="D382" s="141"/>
      <c r="E382" s="143"/>
      <c r="F382" s="141"/>
      <c r="G382" s="128"/>
      <c r="H382" s="242" t="s">
        <v>110</v>
      </c>
      <c r="I382" s="156" t="s">
        <v>383</v>
      </c>
      <c r="J382" s="157" t="s">
        <v>250</v>
      </c>
      <c r="K382" s="158"/>
      <c r="L382" s="160" t="s">
        <v>383</v>
      </c>
      <c r="M382" s="157" t="s">
        <v>267</v>
      </c>
      <c r="N382" s="162"/>
      <c r="O382" s="162"/>
      <c r="P382" s="162"/>
      <c r="Q382" s="158"/>
      <c r="R382" s="158"/>
      <c r="S382" s="158"/>
      <c r="T382" s="158"/>
      <c r="U382" s="158"/>
      <c r="V382" s="158"/>
      <c r="W382" s="158"/>
      <c r="X382" s="166"/>
      <c r="Y382" s="154"/>
      <c r="Z382" s="147"/>
      <c r="AA382" s="147"/>
      <c r="AB382" s="148"/>
      <c r="AC382" s="750"/>
      <c r="AD382" s="751"/>
      <c r="AE382" s="751"/>
      <c r="AF382" s="752"/>
      <c r="AI382" s="109" t="str">
        <f>"23:jyakuninti_uke_code:" &amp; IF(I382="■",1,IF(L382="■",2,0))</f>
        <v>23:jyakuninti_uke_code:0</v>
      </c>
    </row>
    <row r="383" spans="1:36" s="109" customFormat="1" ht="18.75" customHeight="1" x14ac:dyDescent="0.2">
      <c r="A383" s="139"/>
      <c r="B383" s="123"/>
      <c r="C383" s="140"/>
      <c r="D383" s="141"/>
      <c r="E383" s="143"/>
      <c r="F383" s="118" t="s">
        <v>383</v>
      </c>
      <c r="G383" s="128" t="s">
        <v>362</v>
      </c>
      <c r="H383" s="242" t="s">
        <v>95</v>
      </c>
      <c r="I383" s="156" t="s">
        <v>383</v>
      </c>
      <c r="J383" s="157" t="s">
        <v>265</v>
      </c>
      <c r="K383" s="158"/>
      <c r="L383" s="159"/>
      <c r="M383" s="160" t="s">
        <v>383</v>
      </c>
      <c r="N383" s="157" t="s">
        <v>266</v>
      </c>
      <c r="O383" s="162"/>
      <c r="P383" s="162"/>
      <c r="Q383" s="158"/>
      <c r="R383" s="158"/>
      <c r="S383" s="158"/>
      <c r="T383" s="158"/>
      <c r="U383" s="158"/>
      <c r="V383" s="158"/>
      <c r="W383" s="158"/>
      <c r="X383" s="166"/>
      <c r="Y383" s="147"/>
      <c r="Z383" s="147"/>
      <c r="AA383" s="147"/>
      <c r="AB383" s="148"/>
      <c r="AC383" s="750"/>
      <c r="AD383" s="751"/>
      <c r="AE383" s="751"/>
      <c r="AF383" s="752"/>
      <c r="AI383" s="109" t="str">
        <f>"23:sougei_code:" &amp; IF(I383="■",1,IF(M383="■",2,0))</f>
        <v>23:sougei_code:0</v>
      </c>
    </row>
    <row r="384" spans="1:36" s="109" customFormat="1" ht="19.5" customHeight="1" x14ac:dyDescent="0.2">
      <c r="A384" s="139"/>
      <c r="B384" s="123"/>
      <c r="C384" s="140"/>
      <c r="D384" s="141"/>
      <c r="E384" s="143"/>
      <c r="F384" s="141"/>
      <c r="G384" s="128" t="s">
        <v>341</v>
      </c>
      <c r="H384" s="155" t="s">
        <v>433</v>
      </c>
      <c r="I384" s="156" t="s">
        <v>383</v>
      </c>
      <c r="J384" s="157" t="s">
        <v>250</v>
      </c>
      <c r="K384" s="157"/>
      <c r="L384" s="160" t="s">
        <v>383</v>
      </c>
      <c r="M384" s="157" t="s">
        <v>267</v>
      </c>
      <c r="N384" s="157"/>
      <c r="O384" s="162"/>
      <c r="P384" s="157"/>
      <c r="Q384" s="162"/>
      <c r="R384" s="162"/>
      <c r="S384" s="162"/>
      <c r="T384" s="162"/>
      <c r="U384" s="162"/>
      <c r="V384" s="162"/>
      <c r="W384" s="162"/>
      <c r="X384" s="163"/>
      <c r="Y384" s="147"/>
      <c r="Z384" s="147"/>
      <c r="AA384" s="147"/>
      <c r="AB384" s="148"/>
      <c r="AC384" s="750"/>
      <c r="AD384" s="751"/>
      <c r="AE384" s="751"/>
      <c r="AF384" s="752"/>
      <c r="AI384" s="109" t="str">
        <f>"23:field224:" &amp; IF(I384="■",1,IF(L384="■",2,0))</f>
        <v>23:field224:0</v>
      </c>
    </row>
    <row r="385" spans="1:36" s="109" customFormat="1" ht="18.75" customHeight="1" x14ac:dyDescent="0.2">
      <c r="A385" s="139"/>
      <c r="B385" s="123"/>
      <c r="C385" s="140"/>
      <c r="D385" s="141"/>
      <c r="E385" s="143"/>
      <c r="F385" s="118" t="s">
        <v>383</v>
      </c>
      <c r="G385" s="128" t="s">
        <v>363</v>
      </c>
      <c r="H385" s="242" t="s">
        <v>112</v>
      </c>
      <c r="I385" s="156" t="s">
        <v>383</v>
      </c>
      <c r="J385" s="157" t="s">
        <v>250</v>
      </c>
      <c r="K385" s="158"/>
      <c r="L385" s="160" t="s">
        <v>383</v>
      </c>
      <c r="M385" s="157" t="s">
        <v>267</v>
      </c>
      <c r="N385" s="162"/>
      <c r="O385" s="162"/>
      <c r="P385" s="162"/>
      <c r="Q385" s="158"/>
      <c r="R385" s="158"/>
      <c r="S385" s="158"/>
      <c r="T385" s="158"/>
      <c r="U385" s="158"/>
      <c r="V385" s="158"/>
      <c r="W385" s="158"/>
      <c r="X385" s="166"/>
      <c r="Y385" s="154"/>
      <c r="Z385" s="147"/>
      <c r="AA385" s="147"/>
      <c r="AB385" s="148"/>
      <c r="AC385" s="750"/>
      <c r="AD385" s="751"/>
      <c r="AE385" s="751"/>
      <c r="AF385" s="752"/>
      <c r="AI385" s="109" t="str">
        <f>"23:ryouyoushoku_code:" &amp; IF(I385="■",1,IF(L385="■",2,0))</f>
        <v>23:ryouyoushoku_code:0</v>
      </c>
    </row>
    <row r="386" spans="1:36" s="109" customFormat="1" ht="18.75" customHeight="1" x14ac:dyDescent="0.2">
      <c r="A386" s="125" t="s">
        <v>383</v>
      </c>
      <c r="B386" s="123">
        <v>23</v>
      </c>
      <c r="C386" s="140" t="s">
        <v>193</v>
      </c>
      <c r="D386" s="118" t="s">
        <v>383</v>
      </c>
      <c r="E386" s="143" t="s">
        <v>366</v>
      </c>
      <c r="F386" s="141"/>
      <c r="G386" s="128" t="s">
        <v>444</v>
      </c>
      <c r="H386" s="242" t="s">
        <v>184</v>
      </c>
      <c r="I386" s="156" t="s">
        <v>383</v>
      </c>
      <c r="J386" s="157" t="s">
        <v>250</v>
      </c>
      <c r="K386" s="157"/>
      <c r="L386" s="160" t="s">
        <v>383</v>
      </c>
      <c r="M386" s="157" t="s">
        <v>251</v>
      </c>
      <c r="N386" s="157"/>
      <c r="O386" s="160" t="s">
        <v>383</v>
      </c>
      <c r="P386" s="157" t="s">
        <v>252</v>
      </c>
      <c r="Q386" s="162"/>
      <c r="R386" s="158"/>
      <c r="S386" s="158"/>
      <c r="T386" s="158"/>
      <c r="U386" s="158"/>
      <c r="V386" s="158"/>
      <c r="W386" s="158"/>
      <c r="X386" s="166"/>
      <c r="Y386" s="154"/>
      <c r="Z386" s="147"/>
      <c r="AA386" s="147"/>
      <c r="AB386" s="148"/>
      <c r="AC386" s="750"/>
      <c r="AD386" s="751"/>
      <c r="AE386" s="751"/>
      <c r="AF386" s="752"/>
      <c r="AI386" s="109" t="str">
        <f>"23:ninti_senmoncare_code:" &amp; IF(I386="■",1,IF(O386="■",3,IF(L386="■",2,0)))</f>
        <v>23:ninti_senmoncare_code:0</v>
      </c>
    </row>
    <row r="387" spans="1:36" s="109" customFormat="1" ht="18.75" customHeight="1" x14ac:dyDescent="0.2">
      <c r="A387" s="139"/>
      <c r="B387" s="123"/>
      <c r="C387" s="140"/>
      <c r="D387" s="141"/>
      <c r="E387" s="143"/>
      <c r="F387" s="118" t="s">
        <v>383</v>
      </c>
      <c r="G387" s="128" t="s">
        <v>364</v>
      </c>
      <c r="H387" s="741" t="s">
        <v>102</v>
      </c>
      <c r="I387" s="175" t="s">
        <v>383</v>
      </c>
      <c r="J387" s="168" t="s">
        <v>320</v>
      </c>
      <c r="K387" s="168"/>
      <c r="L387" s="251"/>
      <c r="M387" s="251"/>
      <c r="N387" s="251"/>
      <c r="O387" s="251"/>
      <c r="P387" s="206" t="s">
        <v>383</v>
      </c>
      <c r="Q387" s="168" t="s">
        <v>321</v>
      </c>
      <c r="R387" s="251"/>
      <c r="S387" s="251"/>
      <c r="T387" s="251"/>
      <c r="U387" s="251"/>
      <c r="V387" s="251"/>
      <c r="W387" s="251"/>
      <c r="X387" s="252"/>
      <c r="Y387" s="154"/>
      <c r="Z387" s="147"/>
      <c r="AA387" s="147"/>
      <c r="AB387" s="148"/>
      <c r="AC387" s="750"/>
      <c r="AD387" s="751"/>
      <c r="AE387" s="751"/>
      <c r="AF387" s="752"/>
      <c r="AI387" s="109" t="str">
        <f>"23:" &amp; IF(AND(I387="□",P387="□",I388="□"),"tokusin_jyusho_code:0:tokusin_yakuzai_code:0:shuudan_comu_code:0",IF(I387="■","tokusin_jyusho_code:2","tokusin_jyusho_code:1")
&amp;IF(P387="■",":tokusin_yakuzai_code:2",":tokusin_yakuzai_code:1")
&amp;IF(I388="■",":shuudan_comu_code:2",":shuudan_comu_code:1"))</f>
        <v>23:tokusin_jyusho_code:0:tokusin_yakuzai_code:0:shuudan_comu_code:0</v>
      </c>
    </row>
    <row r="388" spans="1:36" s="109" customFormat="1" ht="18.75" customHeight="1" x14ac:dyDescent="0.2">
      <c r="A388" s="139"/>
      <c r="B388" s="123"/>
      <c r="C388" s="140"/>
      <c r="D388" s="141"/>
      <c r="E388" s="143"/>
      <c r="F388" s="141"/>
      <c r="G388" s="128" t="s">
        <v>345</v>
      </c>
      <c r="H388" s="742"/>
      <c r="I388" s="150" t="s">
        <v>383</v>
      </c>
      <c r="J388" s="169" t="s">
        <v>334</v>
      </c>
      <c r="K388" s="152"/>
      <c r="L388" s="152"/>
      <c r="M388" s="152"/>
      <c r="N388" s="152"/>
      <c r="O388" s="152"/>
      <c r="P388" s="152"/>
      <c r="Q388" s="151"/>
      <c r="R388" s="152"/>
      <c r="S388" s="152"/>
      <c r="T388" s="152"/>
      <c r="U388" s="152"/>
      <c r="V388" s="152"/>
      <c r="W388" s="152"/>
      <c r="X388" s="153"/>
      <c r="Y388" s="154"/>
      <c r="Z388" s="147"/>
      <c r="AA388" s="147"/>
      <c r="AB388" s="148"/>
      <c r="AC388" s="750"/>
      <c r="AD388" s="751"/>
      <c r="AE388" s="751"/>
      <c r="AF388" s="752"/>
    </row>
    <row r="389" spans="1:36" s="109" customFormat="1" ht="18.75" customHeight="1" x14ac:dyDescent="0.2">
      <c r="A389" s="139"/>
      <c r="B389" s="123"/>
      <c r="C389" s="140"/>
      <c r="D389" s="141"/>
      <c r="E389" s="143"/>
      <c r="F389" s="118" t="s">
        <v>383</v>
      </c>
      <c r="G389" s="128" t="s">
        <v>365</v>
      </c>
      <c r="H389" s="250" t="s">
        <v>442</v>
      </c>
      <c r="I389" s="156" t="s">
        <v>383</v>
      </c>
      <c r="J389" s="157" t="s">
        <v>250</v>
      </c>
      <c r="K389" s="157"/>
      <c r="L389" s="160" t="s">
        <v>383</v>
      </c>
      <c r="M389" s="157" t="s">
        <v>251</v>
      </c>
      <c r="N389" s="157"/>
      <c r="O389" s="160" t="s">
        <v>383</v>
      </c>
      <c r="P389" s="157" t="s">
        <v>252</v>
      </c>
      <c r="Q389" s="162"/>
      <c r="R389" s="162"/>
      <c r="S389" s="162"/>
      <c r="T389" s="162"/>
      <c r="U389" s="251"/>
      <c r="V389" s="251"/>
      <c r="W389" s="251"/>
      <c r="X389" s="252"/>
      <c r="Y389" s="154"/>
      <c r="Z389" s="147"/>
      <c r="AA389" s="147"/>
      <c r="AB389" s="148"/>
      <c r="AC389" s="750"/>
      <c r="AD389" s="751"/>
      <c r="AE389" s="751"/>
      <c r="AF389" s="752"/>
      <c r="AI389" s="109" t="str">
        <f>"23:field225:" &amp; IF(I389="■",1,IF(L389="■",2,IF(O389="■",3,0)))</f>
        <v>23:field225:0</v>
      </c>
    </row>
    <row r="390" spans="1:36" s="109" customFormat="1" ht="18.75" customHeight="1" x14ac:dyDescent="0.2">
      <c r="A390" s="139"/>
      <c r="B390" s="123"/>
      <c r="C390" s="140"/>
      <c r="D390" s="141"/>
      <c r="E390" s="143"/>
      <c r="F390" s="141"/>
      <c r="G390" s="128"/>
      <c r="H390" s="741" t="s">
        <v>103</v>
      </c>
      <c r="I390" s="175" t="s">
        <v>383</v>
      </c>
      <c r="J390" s="168" t="s">
        <v>335</v>
      </c>
      <c r="K390" s="181"/>
      <c r="L390" s="214"/>
      <c r="M390" s="206" t="s">
        <v>383</v>
      </c>
      <c r="N390" s="168" t="s">
        <v>336</v>
      </c>
      <c r="O390" s="251"/>
      <c r="P390" s="251"/>
      <c r="Q390" s="206" t="s">
        <v>383</v>
      </c>
      <c r="R390" s="168" t="s">
        <v>337</v>
      </c>
      <c r="S390" s="251"/>
      <c r="T390" s="251"/>
      <c r="U390" s="251"/>
      <c r="V390" s="251"/>
      <c r="W390" s="251"/>
      <c r="X390" s="252"/>
      <c r="Y390" s="154"/>
      <c r="Z390" s="147"/>
      <c r="AA390" s="147"/>
      <c r="AB390" s="148"/>
      <c r="AC390" s="750"/>
      <c r="AD390" s="751"/>
      <c r="AE390" s="751"/>
      <c r="AF390" s="752"/>
      <c r="AI390" s="109" t="str">
        <f>"23:"&amp;IF(AND(I390="□",M390="□",Q390="□",I391="□",Q391="□"),"koriha_rryoho1_code:0:koriha_sryoho_code:0:koriha_gengo_code:0:riha_seisin_code:0:koriha_other_code:0",IF(I390="■","koriha_rryoho1_code:2","koriha_rryoho1_code:1")
&amp;IF(M390="■",":koriha_sryoho_code:2",":koriha_sryoho_code:1")
&amp;IF(Q390="■",":koriha_gengo_code:2",":koriha_gengo_code:1")
&amp;IF(I391="■",":riha_seisin_code:2",":riha_seisin_code:1")
&amp;IF(Q391="■",":koriha_other_code:2",":koriha_other_code:1"))</f>
        <v>23:koriha_rryoho1_code:0:koriha_sryoho_code:0:koriha_gengo_code:0:riha_seisin_code:0:koriha_other_code:0</v>
      </c>
    </row>
    <row r="391" spans="1:36" s="109" customFormat="1" ht="18.75" customHeight="1" x14ac:dyDescent="0.2">
      <c r="A391" s="139"/>
      <c r="B391" s="123"/>
      <c r="C391" s="140"/>
      <c r="D391" s="141"/>
      <c r="E391" s="143"/>
      <c r="F391" s="142"/>
      <c r="G391" s="128"/>
      <c r="H391" s="742"/>
      <c r="I391" s="150" t="s">
        <v>383</v>
      </c>
      <c r="J391" s="169" t="s">
        <v>338</v>
      </c>
      <c r="K391" s="152"/>
      <c r="L391" s="152"/>
      <c r="M391" s="152"/>
      <c r="N391" s="152"/>
      <c r="O391" s="152"/>
      <c r="P391" s="152"/>
      <c r="Q391" s="203" t="s">
        <v>383</v>
      </c>
      <c r="R391" s="169" t="s">
        <v>339</v>
      </c>
      <c r="S391" s="151"/>
      <c r="T391" s="152"/>
      <c r="U391" s="152"/>
      <c r="V391" s="152"/>
      <c r="W391" s="152"/>
      <c r="X391" s="153"/>
      <c r="Y391" s="154"/>
      <c r="Z391" s="147"/>
      <c r="AA391" s="147"/>
      <c r="AB391" s="148"/>
      <c r="AC391" s="750"/>
      <c r="AD391" s="751"/>
      <c r="AE391" s="751"/>
      <c r="AF391" s="752"/>
    </row>
    <row r="392" spans="1:36" s="109" customFormat="1" ht="18.75" customHeight="1" x14ac:dyDescent="0.2">
      <c r="A392" s="139"/>
      <c r="B392" s="123"/>
      <c r="C392" s="140"/>
      <c r="D392" s="141"/>
      <c r="E392" s="143"/>
      <c r="F392" s="142"/>
      <c r="G392" s="128"/>
      <c r="H392" s="239" t="s">
        <v>118</v>
      </c>
      <c r="I392" s="156" t="s">
        <v>383</v>
      </c>
      <c r="J392" s="157" t="s">
        <v>250</v>
      </c>
      <c r="K392" s="157"/>
      <c r="L392" s="160" t="s">
        <v>383</v>
      </c>
      <c r="M392" s="157" t="s">
        <v>258</v>
      </c>
      <c r="N392" s="157"/>
      <c r="O392" s="160" t="s">
        <v>383</v>
      </c>
      <c r="P392" s="157" t="s">
        <v>259</v>
      </c>
      <c r="Q392" s="207"/>
      <c r="R392" s="160" t="s">
        <v>383</v>
      </c>
      <c r="S392" s="157" t="s">
        <v>283</v>
      </c>
      <c r="T392" s="207"/>
      <c r="U392" s="207"/>
      <c r="V392" s="207"/>
      <c r="W392" s="207"/>
      <c r="X392" s="208"/>
      <c r="Y392" s="154"/>
      <c r="Z392" s="147"/>
      <c r="AA392" s="147"/>
      <c r="AB392" s="148"/>
      <c r="AC392" s="750"/>
      <c r="AD392" s="751"/>
      <c r="AE392" s="751"/>
      <c r="AF392" s="752"/>
      <c r="AI392" s="109" t="str">
        <f>"23:serteikyo_kyoka_code:" &amp; IF(I392="■",1,IF(L392="■",6,IF(O392="■",5,IF(R392="■",7,0))))</f>
        <v>23:serteikyo_kyoka_code:0</v>
      </c>
    </row>
    <row r="393" spans="1:36" s="109" customFormat="1" ht="18.75" customHeight="1" x14ac:dyDescent="0.2">
      <c r="A393" s="139"/>
      <c r="B393" s="123"/>
      <c r="C393" s="140"/>
      <c r="D393" s="141"/>
      <c r="E393" s="143"/>
      <c r="F393" s="142"/>
      <c r="G393" s="128"/>
      <c r="H393" s="713" t="s">
        <v>801</v>
      </c>
      <c r="I393" s="725" t="s">
        <v>383</v>
      </c>
      <c r="J393" s="726" t="s">
        <v>250</v>
      </c>
      <c r="K393" s="726"/>
      <c r="L393" s="727" t="s">
        <v>383</v>
      </c>
      <c r="M393" s="726" t="s">
        <v>267</v>
      </c>
      <c r="N393" s="726"/>
      <c r="O393" s="168"/>
      <c r="P393" s="168"/>
      <c r="Q393" s="168"/>
      <c r="R393" s="168"/>
      <c r="S393" s="168"/>
      <c r="T393" s="168"/>
      <c r="U393" s="168"/>
      <c r="V393" s="168"/>
      <c r="W393" s="168"/>
      <c r="X393" s="173"/>
      <c r="Y393" s="154"/>
      <c r="Z393" s="147"/>
      <c r="AA393" s="147"/>
      <c r="AB393" s="148"/>
      <c r="AC393" s="750"/>
      <c r="AD393" s="751"/>
      <c r="AE393" s="751"/>
      <c r="AF393" s="752"/>
      <c r="AI393" s="109" t="str">
        <f>"23:field221:" &amp; IF(I393="■",1,IF(L393="■",2,0))</f>
        <v>23:field221:0</v>
      </c>
    </row>
    <row r="394" spans="1:36" s="109" customFormat="1" ht="18.75" customHeight="1" x14ac:dyDescent="0.2">
      <c r="A394" s="139"/>
      <c r="B394" s="670"/>
      <c r="C394" s="140"/>
      <c r="D394" s="141"/>
      <c r="E394" s="143"/>
      <c r="F394" s="142"/>
      <c r="G394" s="128"/>
      <c r="H394" s="737"/>
      <c r="I394" s="725"/>
      <c r="J394" s="726"/>
      <c r="K394" s="726"/>
      <c r="L394" s="727"/>
      <c r="M394" s="726"/>
      <c r="N394" s="726"/>
      <c r="O394" s="169"/>
      <c r="P394" s="169"/>
      <c r="Q394" s="169"/>
      <c r="R394" s="169"/>
      <c r="S394" s="169"/>
      <c r="T394" s="169"/>
      <c r="U394" s="169"/>
      <c r="V394" s="169"/>
      <c r="W394" s="169"/>
      <c r="X394" s="170"/>
      <c r="Y394" s="154"/>
      <c r="Z394" s="147"/>
      <c r="AA394" s="147"/>
      <c r="AB394" s="148"/>
      <c r="AC394" s="750"/>
      <c r="AD394" s="751"/>
      <c r="AE394" s="751"/>
      <c r="AF394" s="752"/>
    </row>
    <row r="395" spans="1:36" s="621" customFormat="1" ht="18.75" customHeight="1" x14ac:dyDescent="0.2">
      <c r="A395" s="139"/>
      <c r="B395" s="670"/>
      <c r="C395" s="140"/>
      <c r="D395" s="141"/>
      <c r="E395" s="143"/>
      <c r="F395" s="142"/>
      <c r="G395" s="128"/>
      <c r="H395" s="713" t="s">
        <v>790</v>
      </c>
      <c r="I395" s="642" t="s">
        <v>383</v>
      </c>
      <c r="J395" s="616" t="s">
        <v>627</v>
      </c>
      <c r="K395" s="616"/>
      <c r="L395" s="615"/>
      <c r="M395" s="644" t="s">
        <v>383</v>
      </c>
      <c r="N395" s="616" t="s">
        <v>791</v>
      </c>
      <c r="O395" s="617"/>
      <c r="P395" s="615"/>
      <c r="Q395" s="644" t="s">
        <v>383</v>
      </c>
      <c r="R395" s="618" t="s">
        <v>802</v>
      </c>
      <c r="S395" s="615"/>
      <c r="T395" s="615"/>
      <c r="U395" s="615"/>
      <c r="V395" s="618"/>
      <c r="W395" s="619"/>
      <c r="X395" s="620"/>
      <c r="Y395" s="154"/>
      <c r="Z395" s="147"/>
      <c r="AA395" s="147"/>
      <c r="AB395" s="148"/>
      <c r="AC395" s="750"/>
      <c r="AD395" s="751"/>
      <c r="AE395" s="751"/>
      <c r="AF395" s="752"/>
    </row>
    <row r="396" spans="1:36" s="621" customFormat="1" ht="18.75" customHeight="1" x14ac:dyDescent="0.2">
      <c r="A396" s="139"/>
      <c r="B396" s="670"/>
      <c r="C396" s="140"/>
      <c r="D396" s="141"/>
      <c r="E396" s="143"/>
      <c r="F396" s="142"/>
      <c r="G396" s="128"/>
      <c r="H396" s="714"/>
      <c r="I396" s="643" t="s">
        <v>383</v>
      </c>
      <c r="J396" s="623" t="s">
        <v>803</v>
      </c>
      <c r="K396" s="623"/>
      <c r="L396" s="622"/>
      <c r="M396" s="211" t="s">
        <v>383</v>
      </c>
      <c r="N396" s="623" t="s">
        <v>804</v>
      </c>
      <c r="O396" s="624"/>
      <c r="P396" s="622"/>
      <c r="Q396" s="211" t="s">
        <v>383</v>
      </c>
      <c r="R396" s="623" t="s">
        <v>795</v>
      </c>
      <c r="S396" s="622"/>
      <c r="T396" s="623"/>
      <c r="U396" s="211" t="s">
        <v>383</v>
      </c>
      <c r="V396" s="623" t="s">
        <v>796</v>
      </c>
      <c r="W396" s="625"/>
      <c r="X396" s="626"/>
      <c r="Y396" s="154"/>
      <c r="Z396" s="147"/>
      <c r="AA396" s="147"/>
      <c r="AB396" s="148"/>
      <c r="AC396" s="750"/>
      <c r="AD396" s="751"/>
      <c r="AE396" s="751"/>
      <c r="AF396" s="752"/>
    </row>
    <row r="397" spans="1:36" s="109" customFormat="1" ht="18.75" customHeight="1" x14ac:dyDescent="0.2">
      <c r="A397" s="129"/>
      <c r="B397" s="116"/>
      <c r="C397" s="130"/>
      <c r="D397" s="131"/>
      <c r="E397" s="133"/>
      <c r="F397" s="131"/>
      <c r="G397" s="121"/>
      <c r="H397" s="366" t="s">
        <v>98</v>
      </c>
      <c r="I397" s="367" t="s">
        <v>383</v>
      </c>
      <c r="J397" s="368" t="s">
        <v>265</v>
      </c>
      <c r="K397" s="369"/>
      <c r="L397" s="370"/>
      <c r="M397" s="371" t="s">
        <v>383</v>
      </c>
      <c r="N397" s="368" t="s">
        <v>266</v>
      </c>
      <c r="O397" s="372"/>
      <c r="P397" s="372"/>
      <c r="Q397" s="372"/>
      <c r="R397" s="372"/>
      <c r="S397" s="372"/>
      <c r="T397" s="372"/>
      <c r="U397" s="372"/>
      <c r="V397" s="372"/>
      <c r="W397" s="372"/>
      <c r="X397" s="373"/>
      <c r="Y397" s="138" t="s">
        <v>383</v>
      </c>
      <c r="Z397" s="119" t="s">
        <v>249</v>
      </c>
      <c r="AA397" s="119"/>
      <c r="AB397" s="137"/>
      <c r="AC397" s="730"/>
      <c r="AD397" s="730"/>
      <c r="AE397" s="730"/>
      <c r="AF397" s="730"/>
      <c r="AG397" s="109" t="str">
        <f>"ser_code = '" &amp; IF(A406="■",23,"") &amp; "'"</f>
        <v>ser_code = ''</v>
      </c>
      <c r="AH397" s="109" t="str">
        <f>"23:jininkbn_code:"&amp;IF(F404="■",1,IF(F406="■",2,IF(F408="■",3,0)))</f>
        <v>23:jininkbn_code:0</v>
      </c>
      <c r="AI397" s="109" t="str">
        <f>"23:unitcare_code:" &amp; IF(I397="■",1,IF(M397="■",2,0))</f>
        <v>23:unitcare_code:0</v>
      </c>
      <c r="AJ397" s="109" t="str">
        <f>"23:field203:" &amp; IF(Y397="■",1,IF(Y398="■",2,0))</f>
        <v>23:field203:0</v>
      </c>
    </row>
    <row r="398" spans="1:36" s="109" customFormat="1" ht="18.75" customHeight="1" x14ac:dyDescent="0.2">
      <c r="A398" s="139"/>
      <c r="B398" s="123"/>
      <c r="C398" s="248"/>
      <c r="D398" s="249"/>
      <c r="E398" s="128"/>
      <c r="F398" s="142"/>
      <c r="G398" s="143"/>
      <c r="H398" s="364" t="s">
        <v>107</v>
      </c>
      <c r="I398" s="349" t="s">
        <v>383</v>
      </c>
      <c r="J398" s="350" t="s">
        <v>395</v>
      </c>
      <c r="K398" s="351"/>
      <c r="L398" s="352"/>
      <c r="M398" s="353" t="s">
        <v>383</v>
      </c>
      <c r="N398" s="350" t="s">
        <v>396</v>
      </c>
      <c r="O398" s="351"/>
      <c r="P398" s="351"/>
      <c r="Q398" s="351"/>
      <c r="R398" s="351"/>
      <c r="S398" s="351"/>
      <c r="T398" s="351"/>
      <c r="U398" s="351"/>
      <c r="V398" s="351"/>
      <c r="W398" s="351"/>
      <c r="X398" s="365"/>
      <c r="Y398" s="118" t="s">
        <v>383</v>
      </c>
      <c r="Z398" s="126" t="s">
        <v>255</v>
      </c>
      <c r="AA398" s="147"/>
      <c r="AB398" s="148"/>
      <c r="AC398" s="731"/>
      <c r="AD398" s="731"/>
      <c r="AE398" s="731"/>
      <c r="AF398" s="731"/>
      <c r="AG398" s="109" t="str">
        <f>"23:sisetukbn_code:"&amp;IF(D406="■","7",0)</f>
        <v>23:sisetukbn_code:0</v>
      </c>
      <c r="AI398" s="109" t="str">
        <f>"23:sintaikousoku_code:" &amp; IF(I398="■",1,IF(M398="■",2,0))</f>
        <v>23:sintaikousoku_code:0</v>
      </c>
    </row>
    <row r="399" spans="1:36" s="109" customFormat="1" ht="19.5" customHeight="1" x14ac:dyDescent="0.2">
      <c r="A399" s="139"/>
      <c r="B399" s="123"/>
      <c r="C399" s="140"/>
      <c r="D399" s="141"/>
      <c r="E399" s="128"/>
      <c r="F399" s="142"/>
      <c r="G399" s="143"/>
      <c r="H399" s="348" t="s">
        <v>430</v>
      </c>
      <c r="I399" s="349" t="s">
        <v>383</v>
      </c>
      <c r="J399" s="350" t="s">
        <v>395</v>
      </c>
      <c r="K399" s="351"/>
      <c r="L399" s="352"/>
      <c r="M399" s="353" t="s">
        <v>383</v>
      </c>
      <c r="N399" s="350" t="s">
        <v>431</v>
      </c>
      <c r="O399" s="354"/>
      <c r="P399" s="350"/>
      <c r="Q399" s="355"/>
      <c r="R399" s="355"/>
      <c r="S399" s="355"/>
      <c r="T399" s="355"/>
      <c r="U399" s="355"/>
      <c r="V399" s="355"/>
      <c r="W399" s="355"/>
      <c r="X399" s="356"/>
      <c r="Y399" s="171"/>
      <c r="Z399" s="126"/>
      <c r="AA399" s="147"/>
      <c r="AB399" s="148"/>
      <c r="AC399" s="731"/>
      <c r="AD399" s="731"/>
      <c r="AE399" s="731"/>
      <c r="AF399" s="731"/>
      <c r="AI399" s="109" t="str">
        <f>"23:field223:" &amp; IF(I399="■",1,IF(M399="■",2,0))</f>
        <v>23:field223:0</v>
      </c>
    </row>
    <row r="400" spans="1:36" s="109" customFormat="1" ht="19.5" customHeight="1" x14ac:dyDescent="0.2">
      <c r="A400" s="139"/>
      <c r="B400" s="123"/>
      <c r="C400" s="140"/>
      <c r="D400" s="141"/>
      <c r="E400" s="128"/>
      <c r="F400" s="142"/>
      <c r="G400" s="143"/>
      <c r="H400" s="348" t="s">
        <v>448</v>
      </c>
      <c r="I400" s="349" t="s">
        <v>383</v>
      </c>
      <c r="J400" s="350" t="s">
        <v>395</v>
      </c>
      <c r="K400" s="351"/>
      <c r="L400" s="352"/>
      <c r="M400" s="353" t="s">
        <v>383</v>
      </c>
      <c r="N400" s="350" t="s">
        <v>431</v>
      </c>
      <c r="O400" s="354"/>
      <c r="P400" s="350"/>
      <c r="Q400" s="355"/>
      <c r="R400" s="355"/>
      <c r="S400" s="355"/>
      <c r="T400" s="355"/>
      <c r="U400" s="355"/>
      <c r="V400" s="355"/>
      <c r="W400" s="355"/>
      <c r="X400" s="356"/>
      <c r="Y400" s="171"/>
      <c r="Z400" s="126"/>
      <c r="AA400" s="147"/>
      <c r="AB400" s="148"/>
      <c r="AC400" s="731"/>
      <c r="AD400" s="731"/>
      <c r="AE400" s="731"/>
      <c r="AF400" s="731"/>
      <c r="AI400" s="109" t="str">
        <f>"23:field232:" &amp; IF(I400="■",1,IF(M400="■",2,0))</f>
        <v>23:field232:0</v>
      </c>
    </row>
    <row r="401" spans="1:35" s="109" customFormat="1" ht="18.75" customHeight="1" x14ac:dyDescent="0.2">
      <c r="A401" s="139"/>
      <c r="B401" s="123"/>
      <c r="C401" s="140"/>
      <c r="D401" s="141"/>
      <c r="E401" s="143"/>
      <c r="F401" s="141"/>
      <c r="G401" s="128"/>
      <c r="H401" s="364" t="s">
        <v>117</v>
      </c>
      <c r="I401" s="349" t="s">
        <v>383</v>
      </c>
      <c r="J401" s="350" t="s">
        <v>300</v>
      </c>
      <c r="K401" s="351"/>
      <c r="L401" s="352"/>
      <c r="M401" s="353" t="s">
        <v>383</v>
      </c>
      <c r="N401" s="350" t="s">
        <v>332</v>
      </c>
      <c r="O401" s="355"/>
      <c r="P401" s="355"/>
      <c r="Q401" s="355"/>
      <c r="R401" s="355"/>
      <c r="S401" s="355"/>
      <c r="T401" s="355"/>
      <c r="U401" s="355"/>
      <c r="V401" s="355"/>
      <c r="W401" s="355"/>
      <c r="X401" s="356"/>
      <c r="Y401" s="154"/>
      <c r="Z401" s="147"/>
      <c r="AA401" s="147"/>
      <c r="AB401" s="148"/>
      <c r="AC401" s="732"/>
      <c r="AD401" s="732"/>
      <c r="AE401" s="732"/>
      <c r="AF401" s="732"/>
      <c r="AI401" s="109" t="str">
        <f>"23:setubi_kijyun_code:" &amp; IF(I401="■",1,IF(M401="■",2,0))</f>
        <v>23:setubi_kijyun_code:0</v>
      </c>
    </row>
    <row r="402" spans="1:35" s="109" customFormat="1" ht="18.75" customHeight="1" x14ac:dyDescent="0.2">
      <c r="A402" s="139"/>
      <c r="B402" s="123"/>
      <c r="C402" s="140"/>
      <c r="D402" s="141"/>
      <c r="E402" s="143"/>
      <c r="F402" s="141"/>
      <c r="G402" s="128"/>
      <c r="H402" s="364" t="s">
        <v>146</v>
      </c>
      <c r="I402" s="349" t="s">
        <v>383</v>
      </c>
      <c r="J402" s="350" t="s">
        <v>300</v>
      </c>
      <c r="K402" s="351"/>
      <c r="L402" s="352"/>
      <c r="M402" s="353" t="s">
        <v>383</v>
      </c>
      <c r="N402" s="350" t="s">
        <v>332</v>
      </c>
      <c r="O402" s="355"/>
      <c r="P402" s="355"/>
      <c r="Q402" s="355"/>
      <c r="R402" s="355"/>
      <c r="S402" s="355"/>
      <c r="T402" s="355"/>
      <c r="U402" s="355"/>
      <c r="V402" s="355"/>
      <c r="W402" s="355"/>
      <c r="X402" s="356"/>
      <c r="Y402" s="154"/>
      <c r="Z402" s="147"/>
      <c r="AA402" s="147"/>
      <c r="AB402" s="148"/>
      <c r="AC402" s="732"/>
      <c r="AD402" s="732"/>
      <c r="AE402" s="732"/>
      <c r="AF402" s="732"/>
      <c r="AI402" s="109" t="str">
        <f>"23:field163:" &amp; IF(I402="■",1,IF(M402="■",2,0))</f>
        <v>23:field163:0</v>
      </c>
    </row>
    <row r="403" spans="1:35" s="109" customFormat="1" ht="18.75" customHeight="1" x14ac:dyDescent="0.2">
      <c r="A403" s="139"/>
      <c r="B403" s="123"/>
      <c r="C403" s="140"/>
      <c r="D403" s="141"/>
      <c r="E403" s="143"/>
      <c r="F403" s="141"/>
      <c r="G403" s="128"/>
      <c r="H403" s="364" t="s">
        <v>110</v>
      </c>
      <c r="I403" s="349" t="s">
        <v>383</v>
      </c>
      <c r="J403" s="350" t="s">
        <v>250</v>
      </c>
      <c r="K403" s="351"/>
      <c r="L403" s="353" t="s">
        <v>383</v>
      </c>
      <c r="M403" s="350" t="s">
        <v>267</v>
      </c>
      <c r="N403" s="355"/>
      <c r="O403" s="355"/>
      <c r="P403" s="355"/>
      <c r="Q403" s="351"/>
      <c r="R403" s="355"/>
      <c r="S403" s="355"/>
      <c r="T403" s="355"/>
      <c r="U403" s="355"/>
      <c r="V403" s="355"/>
      <c r="W403" s="355"/>
      <c r="X403" s="356"/>
      <c r="Y403" s="154"/>
      <c r="Z403" s="147"/>
      <c r="AA403" s="147"/>
      <c r="AB403" s="148"/>
      <c r="AC403" s="732"/>
      <c r="AD403" s="732"/>
      <c r="AE403" s="732"/>
      <c r="AF403" s="732"/>
      <c r="AI403" s="109" t="str">
        <f>"23:jyakuninti_uke_code:" &amp; IF(I403="■",1,IF(L403="■",2,0))</f>
        <v>23:jyakuninti_uke_code:0</v>
      </c>
    </row>
    <row r="404" spans="1:35" s="109" customFormat="1" ht="18.75" customHeight="1" x14ac:dyDescent="0.2">
      <c r="A404" s="139"/>
      <c r="B404" s="123"/>
      <c r="C404" s="140"/>
      <c r="D404" s="141"/>
      <c r="E404" s="143"/>
      <c r="F404" s="118" t="s">
        <v>383</v>
      </c>
      <c r="G404" s="128" t="s">
        <v>351</v>
      </c>
      <c r="H404" s="364" t="s">
        <v>95</v>
      </c>
      <c r="I404" s="349" t="s">
        <v>383</v>
      </c>
      <c r="J404" s="350" t="s">
        <v>265</v>
      </c>
      <c r="K404" s="351"/>
      <c r="L404" s="352"/>
      <c r="M404" s="353" t="s">
        <v>383</v>
      </c>
      <c r="N404" s="350" t="s">
        <v>266</v>
      </c>
      <c r="O404" s="355"/>
      <c r="P404" s="355"/>
      <c r="Q404" s="351"/>
      <c r="R404" s="355"/>
      <c r="S404" s="355"/>
      <c r="T404" s="355"/>
      <c r="U404" s="355"/>
      <c r="V404" s="355"/>
      <c r="W404" s="355"/>
      <c r="X404" s="356"/>
      <c r="Y404" s="154"/>
      <c r="Z404" s="147"/>
      <c r="AA404" s="147"/>
      <c r="AB404" s="148"/>
      <c r="AC404" s="732"/>
      <c r="AD404" s="732"/>
      <c r="AE404" s="732"/>
      <c r="AF404" s="732"/>
      <c r="AI404" s="109" t="str">
        <f>"23:sougei_code:" &amp; IF(I404="■",1,IF(M404="■",2,0))</f>
        <v>23:sougei_code:0</v>
      </c>
    </row>
    <row r="405" spans="1:35" s="109" customFormat="1" ht="19.5" customHeight="1" x14ac:dyDescent="0.2">
      <c r="A405" s="139"/>
      <c r="B405" s="123"/>
      <c r="C405" s="140"/>
      <c r="D405" s="141"/>
      <c r="E405" s="143"/>
      <c r="F405" s="141"/>
      <c r="G405" s="128" t="s">
        <v>352</v>
      </c>
      <c r="H405" s="348" t="s">
        <v>433</v>
      </c>
      <c r="I405" s="349" t="s">
        <v>383</v>
      </c>
      <c r="J405" s="350" t="s">
        <v>250</v>
      </c>
      <c r="K405" s="350"/>
      <c r="L405" s="353" t="s">
        <v>383</v>
      </c>
      <c r="M405" s="350" t="s">
        <v>267</v>
      </c>
      <c r="N405" s="350"/>
      <c r="O405" s="355"/>
      <c r="P405" s="350"/>
      <c r="Q405" s="355"/>
      <c r="R405" s="355"/>
      <c r="S405" s="355"/>
      <c r="T405" s="355"/>
      <c r="U405" s="355"/>
      <c r="V405" s="355"/>
      <c r="W405" s="355"/>
      <c r="X405" s="356"/>
      <c r="Y405" s="147"/>
      <c r="Z405" s="147"/>
      <c r="AA405" s="147"/>
      <c r="AB405" s="148"/>
      <c r="AC405" s="732"/>
      <c r="AD405" s="732"/>
      <c r="AE405" s="732"/>
      <c r="AF405" s="732"/>
      <c r="AI405" s="109" t="str">
        <f>"23:field224:" &amp; IF(I405="■",1,IF(L405="■",2,0))</f>
        <v>23:field224:0</v>
      </c>
    </row>
    <row r="406" spans="1:35" s="109" customFormat="1" ht="18.75" customHeight="1" x14ac:dyDescent="0.2">
      <c r="A406" s="125" t="s">
        <v>383</v>
      </c>
      <c r="B406" s="123">
        <v>23</v>
      </c>
      <c r="C406" s="140" t="s">
        <v>193</v>
      </c>
      <c r="D406" s="118" t="s">
        <v>383</v>
      </c>
      <c r="E406" s="143" t="s">
        <v>367</v>
      </c>
      <c r="F406" s="118" t="s">
        <v>383</v>
      </c>
      <c r="G406" s="128" t="s">
        <v>353</v>
      </c>
      <c r="H406" s="364" t="s">
        <v>112</v>
      </c>
      <c r="I406" s="349" t="s">
        <v>383</v>
      </c>
      <c r="J406" s="350" t="s">
        <v>250</v>
      </c>
      <c r="K406" s="351"/>
      <c r="L406" s="353" t="s">
        <v>383</v>
      </c>
      <c r="M406" s="350" t="s">
        <v>267</v>
      </c>
      <c r="N406" s="355"/>
      <c r="O406" s="355"/>
      <c r="P406" s="355"/>
      <c r="Q406" s="351"/>
      <c r="R406" s="355"/>
      <c r="S406" s="355"/>
      <c r="T406" s="355"/>
      <c r="U406" s="355"/>
      <c r="V406" s="355"/>
      <c r="W406" s="355"/>
      <c r="X406" s="356"/>
      <c r="Y406" s="154"/>
      <c r="Z406" s="147"/>
      <c r="AA406" s="147"/>
      <c r="AB406" s="148"/>
      <c r="AC406" s="732"/>
      <c r="AD406" s="732"/>
      <c r="AE406" s="732"/>
      <c r="AF406" s="732"/>
      <c r="AI406" s="109" t="str">
        <f>"23:ryouyoushoku_code:" &amp; IF(I406="■",1,IF(L406="■",2,0))</f>
        <v>23:ryouyoushoku_code:0</v>
      </c>
    </row>
    <row r="407" spans="1:35" s="109" customFormat="1" ht="18.75" customHeight="1" x14ac:dyDescent="0.2">
      <c r="A407" s="139"/>
      <c r="B407" s="123"/>
      <c r="C407" s="140"/>
      <c r="D407" s="108"/>
      <c r="E407" s="143"/>
      <c r="F407" s="141"/>
      <c r="G407" s="128" t="s">
        <v>354</v>
      </c>
      <c r="H407" s="364" t="s">
        <v>184</v>
      </c>
      <c r="I407" s="349" t="s">
        <v>383</v>
      </c>
      <c r="J407" s="350" t="s">
        <v>250</v>
      </c>
      <c r="K407" s="350"/>
      <c r="L407" s="353" t="s">
        <v>383</v>
      </c>
      <c r="M407" s="350" t="s">
        <v>251</v>
      </c>
      <c r="N407" s="350"/>
      <c r="O407" s="353" t="s">
        <v>383</v>
      </c>
      <c r="P407" s="350" t="s">
        <v>252</v>
      </c>
      <c r="Q407" s="355"/>
      <c r="R407" s="355"/>
      <c r="S407" s="355"/>
      <c r="T407" s="355"/>
      <c r="U407" s="355"/>
      <c r="V407" s="355"/>
      <c r="W407" s="355"/>
      <c r="X407" s="356"/>
      <c r="Y407" s="154"/>
      <c r="Z407" s="147"/>
      <c r="AA407" s="147"/>
      <c r="AB407" s="148"/>
      <c r="AC407" s="732"/>
      <c r="AD407" s="732"/>
      <c r="AE407" s="732"/>
      <c r="AF407" s="732"/>
      <c r="AI407" s="109" t="str">
        <f>"23:ninti_senmoncare_code:" &amp; IF(I407="■",1,IF(O407="■",3,IF(L407="■",2,0)))</f>
        <v>23:ninti_senmoncare_code:0</v>
      </c>
    </row>
    <row r="408" spans="1:35" s="109" customFormat="1" ht="18.75" customHeight="1" x14ac:dyDescent="0.2">
      <c r="A408" s="139"/>
      <c r="B408" s="123"/>
      <c r="C408" s="140"/>
      <c r="D408" s="141"/>
      <c r="E408" s="143"/>
      <c r="F408" s="118" t="s">
        <v>383</v>
      </c>
      <c r="G408" s="128" t="s">
        <v>355</v>
      </c>
      <c r="H408" s="435" t="s">
        <v>442</v>
      </c>
      <c r="I408" s="349" t="s">
        <v>383</v>
      </c>
      <c r="J408" s="350" t="s">
        <v>250</v>
      </c>
      <c r="K408" s="350"/>
      <c r="L408" s="353" t="s">
        <v>383</v>
      </c>
      <c r="M408" s="350" t="s">
        <v>251</v>
      </c>
      <c r="N408" s="350"/>
      <c r="O408" s="353" t="s">
        <v>383</v>
      </c>
      <c r="P408" s="350" t="s">
        <v>252</v>
      </c>
      <c r="Q408" s="355"/>
      <c r="R408" s="355"/>
      <c r="S408" s="355"/>
      <c r="T408" s="355"/>
      <c r="U408" s="410"/>
      <c r="V408" s="410"/>
      <c r="W408" s="410"/>
      <c r="X408" s="411"/>
      <c r="Y408" s="154"/>
      <c r="Z408" s="147"/>
      <c r="AA408" s="147"/>
      <c r="AB408" s="148"/>
      <c r="AC408" s="732"/>
      <c r="AD408" s="732"/>
      <c r="AE408" s="732"/>
      <c r="AF408" s="732"/>
      <c r="AI408" s="109" t="str">
        <f>"23:field225:" &amp; IF(I408="■",1,IF(L408="■",2,IF(O408="■",3,0)))</f>
        <v>23:field225:0</v>
      </c>
    </row>
    <row r="409" spans="1:35" s="109" customFormat="1" ht="18.75" customHeight="1" x14ac:dyDescent="0.2">
      <c r="A409" s="139"/>
      <c r="B409" s="123"/>
      <c r="C409" s="140"/>
      <c r="D409" s="141"/>
      <c r="E409" s="143"/>
      <c r="F409" s="141"/>
      <c r="G409" s="128" t="s">
        <v>356</v>
      </c>
      <c r="H409" s="738" t="s">
        <v>219</v>
      </c>
      <c r="I409" s="374" t="s">
        <v>383</v>
      </c>
      <c r="J409" s="375" t="s">
        <v>320</v>
      </c>
      <c r="K409" s="375"/>
      <c r="L409" s="410"/>
      <c r="M409" s="410"/>
      <c r="N409" s="410"/>
      <c r="O409" s="410"/>
      <c r="P409" s="377" t="s">
        <v>383</v>
      </c>
      <c r="Q409" s="375" t="s">
        <v>321</v>
      </c>
      <c r="R409" s="410"/>
      <c r="S409" s="410"/>
      <c r="T409" s="410"/>
      <c r="U409" s="410"/>
      <c r="V409" s="410"/>
      <c r="W409" s="410"/>
      <c r="X409" s="411"/>
      <c r="Y409" s="154"/>
      <c r="Z409" s="147"/>
      <c r="AA409" s="147"/>
      <c r="AB409" s="148"/>
      <c r="AC409" s="732"/>
      <c r="AD409" s="732"/>
      <c r="AE409" s="732"/>
      <c r="AF409" s="732"/>
      <c r="AI409" s="109" t="str">
        <f>"23:" &amp; IF(AND(I409="□",P409="□",I410="□"),"tokusin_jyusho_code:0:tokusin_yakuzai_code:0:shuudan_comu_code:0",IF(I409="■","tokusin_jyusho_code:2","tokusin_jyusho_code:1")
&amp;IF(P409="■",":tokusin_yakuzai_code:2",":tokusin_yakuzai_code:1")
&amp;IF(I410="■",":shuudan_comu_code:2",":shuudan_comu_code:1"))</f>
        <v>23:tokusin_jyusho_code:0:tokusin_yakuzai_code:0:shuudan_comu_code:0</v>
      </c>
    </row>
    <row r="410" spans="1:35" s="109" customFormat="1" ht="18.75" customHeight="1" x14ac:dyDescent="0.2">
      <c r="A410" s="139"/>
      <c r="B410" s="123"/>
      <c r="C410" s="140"/>
      <c r="D410" s="141"/>
      <c r="E410" s="143"/>
      <c r="F410" s="141"/>
      <c r="G410" s="128"/>
      <c r="H410" s="739"/>
      <c r="I410" s="380" t="s">
        <v>383</v>
      </c>
      <c r="J410" s="381" t="s">
        <v>334</v>
      </c>
      <c r="K410" s="436"/>
      <c r="L410" s="436"/>
      <c r="M410" s="436"/>
      <c r="N410" s="436"/>
      <c r="O410" s="436"/>
      <c r="P410" s="436"/>
      <c r="Q410" s="384"/>
      <c r="R410" s="436"/>
      <c r="S410" s="436"/>
      <c r="T410" s="436"/>
      <c r="U410" s="436"/>
      <c r="V410" s="436"/>
      <c r="W410" s="436"/>
      <c r="X410" s="437"/>
      <c r="Y410" s="154"/>
      <c r="Z410" s="147"/>
      <c r="AA410" s="147"/>
      <c r="AB410" s="148"/>
      <c r="AC410" s="732"/>
      <c r="AD410" s="732"/>
      <c r="AE410" s="732"/>
      <c r="AF410" s="732"/>
    </row>
    <row r="411" spans="1:35" s="109" customFormat="1" ht="18.75" customHeight="1" x14ac:dyDescent="0.2">
      <c r="A411" s="139"/>
      <c r="B411" s="123"/>
      <c r="C411" s="140"/>
      <c r="D411" s="141"/>
      <c r="E411" s="143"/>
      <c r="F411" s="141"/>
      <c r="G411" s="128"/>
      <c r="H411" s="738" t="s">
        <v>443</v>
      </c>
      <c r="I411" s="374" t="s">
        <v>383</v>
      </c>
      <c r="J411" s="375" t="s">
        <v>335</v>
      </c>
      <c r="K411" s="438"/>
      <c r="L411" s="376"/>
      <c r="M411" s="377" t="s">
        <v>383</v>
      </c>
      <c r="N411" s="375" t="s">
        <v>336</v>
      </c>
      <c r="O411" s="410"/>
      <c r="P411" s="410"/>
      <c r="Q411" s="377" t="s">
        <v>383</v>
      </c>
      <c r="R411" s="375" t="s">
        <v>337</v>
      </c>
      <c r="S411" s="410"/>
      <c r="T411" s="410"/>
      <c r="U411" s="410"/>
      <c r="V411" s="410"/>
      <c r="W411" s="410"/>
      <c r="X411" s="411"/>
      <c r="Y411" s="154"/>
      <c r="Z411" s="147"/>
      <c r="AA411" s="147"/>
      <c r="AB411" s="148"/>
      <c r="AC411" s="732"/>
      <c r="AD411" s="732"/>
      <c r="AE411" s="732"/>
      <c r="AF411" s="732"/>
      <c r="AI411" s="109" t="str">
        <f>"23:"&amp;IF(AND(I411="□",M411="□",Q411="□",I412="□",Q412="□"),"koriha_rryoho1_code:0:koriha_sryoho_code:0:koriha_gengo_code=::riha_seisin_code:0:koriha_other_code:0",IF(I411="■","koriha_rryoho1_code:2","koriha_rryoho1_code:1")
&amp;IF(M411="■",":koriha_sryoho_code:2",":koriha_sryoho_code:1")
&amp;IF(Q411="■",":koriha_gengo_code:2",":koriha_gengo_code:1")
&amp;IF(I412="■",":riha_seisin_code:2",":riha_seisin_code:1")
&amp;IF(Q412="■",":koriha_other_code:2",":koriha_other_code:1"))</f>
        <v>23:koriha_rryoho1_code:0:koriha_sryoho_code:0:koriha_gengo_code=::riha_seisin_code:0:koriha_other_code:0</v>
      </c>
    </row>
    <row r="412" spans="1:35" s="109" customFormat="1" ht="18.75" customHeight="1" x14ac:dyDescent="0.2">
      <c r="A412" s="139"/>
      <c r="B412" s="123"/>
      <c r="C412" s="140"/>
      <c r="D412" s="141"/>
      <c r="E412" s="143"/>
      <c r="F412" s="141"/>
      <c r="G412" s="128"/>
      <c r="H412" s="739"/>
      <c r="I412" s="380" t="s">
        <v>383</v>
      </c>
      <c r="J412" s="381" t="s">
        <v>338</v>
      </c>
      <c r="K412" s="436"/>
      <c r="L412" s="436"/>
      <c r="M412" s="436"/>
      <c r="N412" s="436"/>
      <c r="O412" s="436"/>
      <c r="P412" s="436"/>
      <c r="Q412" s="383" t="s">
        <v>383</v>
      </c>
      <c r="R412" s="381" t="s">
        <v>339</v>
      </c>
      <c r="S412" s="384"/>
      <c r="T412" s="436"/>
      <c r="U412" s="436"/>
      <c r="V412" s="436"/>
      <c r="W412" s="436"/>
      <c r="X412" s="437"/>
      <c r="Y412" s="154"/>
      <c r="Z412" s="147"/>
      <c r="AA412" s="147"/>
      <c r="AB412" s="148"/>
      <c r="AC412" s="732"/>
      <c r="AD412" s="732"/>
      <c r="AE412" s="732"/>
      <c r="AF412" s="732"/>
    </row>
    <row r="413" spans="1:35" s="109" customFormat="1" ht="18.75" customHeight="1" x14ac:dyDescent="0.2">
      <c r="A413" s="139"/>
      <c r="B413" s="123"/>
      <c r="C413" s="140"/>
      <c r="D413" s="141"/>
      <c r="E413" s="143"/>
      <c r="F413" s="141"/>
      <c r="G413" s="128"/>
      <c r="H413" s="439" t="s">
        <v>118</v>
      </c>
      <c r="I413" s="349" t="s">
        <v>383</v>
      </c>
      <c r="J413" s="350" t="s">
        <v>250</v>
      </c>
      <c r="K413" s="350"/>
      <c r="L413" s="353" t="s">
        <v>383</v>
      </c>
      <c r="M413" s="350" t="s">
        <v>258</v>
      </c>
      <c r="N413" s="350"/>
      <c r="O413" s="353" t="s">
        <v>383</v>
      </c>
      <c r="P413" s="350" t="s">
        <v>259</v>
      </c>
      <c r="Q413" s="420"/>
      <c r="R413" s="353" t="s">
        <v>383</v>
      </c>
      <c r="S413" s="350" t="s">
        <v>283</v>
      </c>
      <c r="T413" s="420"/>
      <c r="U413" s="420"/>
      <c r="V413" s="420"/>
      <c r="W413" s="420"/>
      <c r="X413" s="440"/>
      <c r="Y413" s="154"/>
      <c r="Z413" s="147"/>
      <c r="AA413" s="147"/>
      <c r="AB413" s="148"/>
      <c r="AC413" s="732"/>
      <c r="AD413" s="732"/>
      <c r="AE413" s="732"/>
      <c r="AF413" s="732"/>
      <c r="AI413" s="109" t="str">
        <f>"23:serteikyo_kyoka_code:" &amp; IF(I413="■",1,IF(L413="■",6,IF(O413="■",5,IF(R413="■",7,0))))</f>
        <v>23:serteikyo_kyoka_code:0</v>
      </c>
    </row>
    <row r="414" spans="1:35" s="109" customFormat="1" ht="18.75" customHeight="1" x14ac:dyDescent="0.2">
      <c r="A414" s="139"/>
      <c r="B414" s="123"/>
      <c r="C414" s="140"/>
      <c r="D414" s="141"/>
      <c r="E414" s="143"/>
      <c r="F414" s="141"/>
      <c r="G414" s="128"/>
      <c r="H414" s="713" t="s">
        <v>801</v>
      </c>
      <c r="I414" s="745" t="s">
        <v>383</v>
      </c>
      <c r="J414" s="746" t="s">
        <v>250</v>
      </c>
      <c r="K414" s="746"/>
      <c r="L414" s="747" t="s">
        <v>383</v>
      </c>
      <c r="M414" s="746" t="s">
        <v>267</v>
      </c>
      <c r="N414" s="746"/>
      <c r="O414" s="375"/>
      <c r="P414" s="375"/>
      <c r="Q414" s="375"/>
      <c r="R414" s="375"/>
      <c r="S414" s="375"/>
      <c r="T414" s="375"/>
      <c r="U414" s="375"/>
      <c r="V414" s="375"/>
      <c r="W414" s="375"/>
      <c r="X414" s="441"/>
      <c r="Y414" s="154"/>
      <c r="Z414" s="147"/>
      <c r="AA414" s="147"/>
      <c r="AB414" s="148"/>
      <c r="AC414" s="732"/>
      <c r="AD414" s="732"/>
      <c r="AE414" s="732"/>
      <c r="AF414" s="732"/>
      <c r="AI414" s="109" t="str">
        <f>"23:field221:" &amp; IF(I414="■",1,IF(L414="■",2,0))</f>
        <v>23:field221:0</v>
      </c>
    </row>
    <row r="415" spans="1:35" s="109" customFormat="1" ht="18.75" customHeight="1" x14ac:dyDescent="0.2">
      <c r="A415" s="139"/>
      <c r="B415" s="123"/>
      <c r="C415" s="140"/>
      <c r="D415" s="141"/>
      <c r="E415" s="143"/>
      <c r="F415" s="141"/>
      <c r="G415" s="128"/>
      <c r="H415" s="737"/>
      <c r="I415" s="745"/>
      <c r="J415" s="746"/>
      <c r="K415" s="746"/>
      <c r="L415" s="747"/>
      <c r="M415" s="746"/>
      <c r="N415" s="746"/>
      <c r="O415" s="381"/>
      <c r="P415" s="381"/>
      <c r="Q415" s="381"/>
      <c r="R415" s="381"/>
      <c r="S415" s="381"/>
      <c r="T415" s="381"/>
      <c r="U415" s="381"/>
      <c r="V415" s="381"/>
      <c r="W415" s="381"/>
      <c r="X415" s="442"/>
      <c r="Y415" s="154"/>
      <c r="Z415" s="147"/>
      <c r="AA415" s="147"/>
      <c r="AB415" s="148"/>
      <c r="AC415" s="732"/>
      <c r="AD415" s="732"/>
      <c r="AE415" s="732"/>
      <c r="AF415" s="732"/>
    </row>
    <row r="416" spans="1:35" s="621" customFormat="1" ht="18.75" customHeight="1" x14ac:dyDescent="0.2">
      <c r="A416" s="139"/>
      <c r="B416" s="670"/>
      <c r="C416" s="140"/>
      <c r="D416" s="141"/>
      <c r="E416" s="143"/>
      <c r="F416" s="142"/>
      <c r="G416" s="128"/>
      <c r="H416" s="713" t="s">
        <v>790</v>
      </c>
      <c r="I416" s="642" t="s">
        <v>383</v>
      </c>
      <c r="J416" s="616" t="s">
        <v>627</v>
      </c>
      <c r="K416" s="616"/>
      <c r="L416" s="615"/>
      <c r="M416" s="644" t="s">
        <v>383</v>
      </c>
      <c r="N416" s="616" t="s">
        <v>791</v>
      </c>
      <c r="O416" s="617"/>
      <c r="P416" s="615"/>
      <c r="Q416" s="644" t="s">
        <v>383</v>
      </c>
      <c r="R416" s="618" t="s">
        <v>802</v>
      </c>
      <c r="S416" s="615"/>
      <c r="T416" s="615"/>
      <c r="U416" s="615"/>
      <c r="V416" s="618"/>
      <c r="W416" s="619"/>
      <c r="X416" s="620"/>
      <c r="Y416" s="154"/>
      <c r="Z416" s="147"/>
      <c r="AA416" s="147"/>
      <c r="AB416" s="148"/>
      <c r="AC416" s="732"/>
      <c r="AD416" s="732"/>
      <c r="AE416" s="732"/>
      <c r="AF416" s="732"/>
    </row>
    <row r="417" spans="1:36" s="621" customFormat="1" ht="18.75" customHeight="1" x14ac:dyDescent="0.2">
      <c r="A417" s="139"/>
      <c r="B417" s="670"/>
      <c r="C417" s="140"/>
      <c r="D417" s="141"/>
      <c r="E417" s="143"/>
      <c r="F417" s="142"/>
      <c r="G417" s="128"/>
      <c r="H417" s="714"/>
      <c r="I417" s="643" t="s">
        <v>383</v>
      </c>
      <c r="J417" s="623" t="s">
        <v>803</v>
      </c>
      <c r="K417" s="623"/>
      <c r="L417" s="622"/>
      <c r="M417" s="211" t="s">
        <v>383</v>
      </c>
      <c r="N417" s="623" t="s">
        <v>804</v>
      </c>
      <c r="O417" s="624"/>
      <c r="P417" s="622"/>
      <c r="Q417" s="211" t="s">
        <v>383</v>
      </c>
      <c r="R417" s="623" t="s">
        <v>795</v>
      </c>
      <c r="S417" s="622"/>
      <c r="T417" s="623"/>
      <c r="U417" s="211" t="s">
        <v>383</v>
      </c>
      <c r="V417" s="623" t="s">
        <v>796</v>
      </c>
      <c r="W417" s="625"/>
      <c r="X417" s="626"/>
      <c r="Y417" s="154"/>
      <c r="Z417" s="147"/>
      <c r="AA417" s="147"/>
      <c r="AB417" s="148"/>
      <c r="AC417" s="732"/>
      <c r="AD417" s="732"/>
      <c r="AE417" s="732"/>
      <c r="AF417" s="732"/>
    </row>
    <row r="418" spans="1:36" s="109" customFormat="1" ht="18.75" customHeight="1" x14ac:dyDescent="0.2">
      <c r="A418" s="258"/>
      <c r="B418" s="259"/>
      <c r="C418" s="130"/>
      <c r="D418" s="131"/>
      <c r="E418" s="133"/>
      <c r="F418" s="131"/>
      <c r="G418" s="121"/>
      <c r="H418" s="705" t="s">
        <v>182</v>
      </c>
      <c r="I418" s="138" t="s">
        <v>383</v>
      </c>
      <c r="J418" s="119" t="s">
        <v>300</v>
      </c>
      <c r="K418" s="135"/>
      <c r="L418" s="243"/>
      <c r="M418" s="134" t="s">
        <v>383</v>
      </c>
      <c r="N418" s="119" t="s">
        <v>328</v>
      </c>
      <c r="O418" s="244"/>
      <c r="P418" s="244"/>
      <c r="Q418" s="134" t="s">
        <v>383</v>
      </c>
      <c r="R418" s="119" t="s">
        <v>329</v>
      </c>
      <c r="S418" s="244"/>
      <c r="T418" s="244"/>
      <c r="U418" s="134" t="s">
        <v>383</v>
      </c>
      <c r="V418" s="119" t="s">
        <v>330</v>
      </c>
      <c r="W418" s="244"/>
      <c r="X418" s="225"/>
      <c r="Y418" s="138" t="s">
        <v>383</v>
      </c>
      <c r="Z418" s="119" t="s">
        <v>249</v>
      </c>
      <c r="AA418" s="119"/>
      <c r="AB418" s="137"/>
      <c r="AC418" s="730"/>
      <c r="AD418" s="730"/>
      <c r="AE418" s="730"/>
      <c r="AF418" s="730"/>
      <c r="AG418" s="109" t="str">
        <f>"ser_code = '" &amp; IF(A430="■","2A","") &amp; "'"</f>
        <v>ser_code = ''</v>
      </c>
      <c r="AH418" s="109" t="str">
        <f>"2A:jininkbn_code:"&amp;IF(F429="■",1,IF(F430="■",2,IF(F431="■",3,0)))</f>
        <v>2A:jininkbn_code:0</v>
      </c>
      <c r="AI418" s="109" t="str">
        <f>"2A:yakan_kinmu_code:" &amp; IF(I418="■",1,IF(M418="■",2,IF(Q418="■",3,IF(U418="■",7,IF(I419="■",5,IF(M419="■",6,0))))))</f>
        <v>2A:yakan_kinmu_code:0</v>
      </c>
      <c r="AJ418" s="109" t="str">
        <f>"2A:field203:" &amp; IF(Y418="■",1,IF(Y419="■",2,0))</f>
        <v>2A:field203:0</v>
      </c>
    </row>
    <row r="419" spans="1:36" s="109" customFormat="1" ht="18.75" customHeight="1" x14ac:dyDescent="0.2">
      <c r="A419" s="260"/>
      <c r="B419" s="261"/>
      <c r="C419" s="140"/>
      <c r="D419" s="141"/>
      <c r="E419" s="143"/>
      <c r="F419" s="141"/>
      <c r="G419" s="128"/>
      <c r="H419" s="742"/>
      <c r="I419" s="150" t="s">
        <v>383</v>
      </c>
      <c r="J419" s="169" t="s">
        <v>331</v>
      </c>
      <c r="K419" s="179"/>
      <c r="L419" s="254"/>
      <c r="M419" s="203" t="s">
        <v>383</v>
      </c>
      <c r="N419" s="169" t="s">
        <v>301</v>
      </c>
      <c r="O419" s="151"/>
      <c r="P419" s="151"/>
      <c r="Q419" s="151"/>
      <c r="R419" s="151"/>
      <c r="S419" s="151"/>
      <c r="T419" s="151"/>
      <c r="U419" s="151"/>
      <c r="V419" s="151"/>
      <c r="W419" s="151"/>
      <c r="X419" s="238"/>
      <c r="Y419" s="118" t="s">
        <v>383</v>
      </c>
      <c r="Z419" s="126" t="s">
        <v>255</v>
      </c>
      <c r="AA419" s="147"/>
      <c r="AB419" s="148"/>
      <c r="AC419" s="731"/>
      <c r="AD419" s="731"/>
      <c r="AE419" s="731"/>
      <c r="AF419" s="731"/>
      <c r="AG419" s="109" t="str">
        <f>"2A:sisetukbn_code:"&amp;IF(D430="■","1",0)</f>
        <v>2A:sisetukbn_code:0</v>
      </c>
    </row>
    <row r="420" spans="1:36" s="109" customFormat="1" ht="18.75" customHeight="1" x14ac:dyDescent="0.2">
      <c r="A420" s="260"/>
      <c r="B420" s="261"/>
      <c r="C420" s="140"/>
      <c r="D420" s="141"/>
      <c r="E420" s="143"/>
      <c r="F420" s="141"/>
      <c r="G420" s="128"/>
      <c r="H420" s="741" t="s">
        <v>93</v>
      </c>
      <c r="I420" s="175" t="s">
        <v>383</v>
      </c>
      <c r="J420" s="168" t="s">
        <v>250</v>
      </c>
      <c r="K420" s="168"/>
      <c r="L420" s="214"/>
      <c r="M420" s="206" t="s">
        <v>383</v>
      </c>
      <c r="N420" s="168" t="s">
        <v>289</v>
      </c>
      <c r="O420" s="168"/>
      <c r="P420" s="214"/>
      <c r="Q420" s="206" t="s">
        <v>383</v>
      </c>
      <c r="R420" s="172" t="s">
        <v>372</v>
      </c>
      <c r="S420" s="172"/>
      <c r="T420" s="172"/>
      <c r="U420" s="251"/>
      <c r="V420" s="214"/>
      <c r="W420" s="172"/>
      <c r="X420" s="252"/>
      <c r="Y420" s="154"/>
      <c r="Z420" s="147"/>
      <c r="AA420" s="147"/>
      <c r="AB420" s="148"/>
      <c r="AC420" s="732"/>
      <c r="AD420" s="732"/>
      <c r="AE420" s="732"/>
      <c r="AF420" s="732"/>
      <c r="AI420" s="109" t="str">
        <f>"2A:"&amp;IF(AND(I420="□",M420="□",Q420="□",I421="□",M421="□"),"ketu_doctor_code:0",IF(I420="■","ketu_doctor_code:1:field197:1:ketu_kangos_code:1:ketu_kshoku_code:1",IF(M420="■","ketu_doctor_code:2","ketu_doctor_code:1")
&amp;IF(Q420="■",":field197:2",":field197:1")
&amp;IF(I421="■",":ketu_kangos_code:2",":ketu_kangos_code:1")
&amp;IF(M421="■",":ketu_kshoku_code:2",":ketu_kshoku_code:1")))</f>
        <v>2A:ketu_doctor_code:0</v>
      </c>
    </row>
    <row r="421" spans="1:36" s="109" customFormat="1" ht="18.75" customHeight="1" x14ac:dyDescent="0.2">
      <c r="A421" s="260"/>
      <c r="B421" s="261"/>
      <c r="C421" s="140"/>
      <c r="D421" s="141"/>
      <c r="E421" s="143"/>
      <c r="F421" s="141"/>
      <c r="G421" s="128"/>
      <c r="H421" s="742"/>
      <c r="I421" s="150" t="s">
        <v>383</v>
      </c>
      <c r="J421" s="151" t="s">
        <v>373</v>
      </c>
      <c r="K421" s="151"/>
      <c r="L421" s="151"/>
      <c r="M421" s="203" t="s">
        <v>383</v>
      </c>
      <c r="N421" s="151" t="s">
        <v>374</v>
      </c>
      <c r="O421" s="254"/>
      <c r="P421" s="151"/>
      <c r="Q421" s="151"/>
      <c r="R421" s="254"/>
      <c r="S421" s="151"/>
      <c r="T421" s="151"/>
      <c r="U421" s="152"/>
      <c r="V421" s="254"/>
      <c r="W421" s="151"/>
      <c r="X421" s="153"/>
      <c r="Y421" s="154"/>
      <c r="Z421" s="147"/>
      <c r="AA421" s="147"/>
      <c r="AB421" s="148"/>
      <c r="AC421" s="732"/>
      <c r="AD421" s="732"/>
      <c r="AE421" s="732"/>
      <c r="AF421" s="732"/>
    </row>
    <row r="422" spans="1:36" s="109" customFormat="1" ht="18.75" customHeight="1" x14ac:dyDescent="0.2">
      <c r="A422" s="139"/>
      <c r="B422" s="123"/>
      <c r="C422" s="248"/>
      <c r="D422" s="249"/>
      <c r="E422" s="128"/>
      <c r="F422" s="142"/>
      <c r="G422" s="143"/>
      <c r="H422" s="364" t="s">
        <v>107</v>
      </c>
      <c r="I422" s="349" t="s">
        <v>383</v>
      </c>
      <c r="J422" s="350" t="s">
        <v>395</v>
      </c>
      <c r="K422" s="351"/>
      <c r="L422" s="352"/>
      <c r="M422" s="353" t="s">
        <v>383</v>
      </c>
      <c r="N422" s="350" t="s">
        <v>396</v>
      </c>
      <c r="O422" s="351"/>
      <c r="P422" s="351"/>
      <c r="Q422" s="351"/>
      <c r="R422" s="351"/>
      <c r="S422" s="351"/>
      <c r="T422" s="351"/>
      <c r="U422" s="351"/>
      <c r="V422" s="351"/>
      <c r="W422" s="351"/>
      <c r="X422" s="365"/>
      <c r="Y422" s="154"/>
      <c r="Z422" s="147"/>
      <c r="AA422" s="147"/>
      <c r="AB422" s="148"/>
      <c r="AC422" s="732"/>
      <c r="AD422" s="732"/>
      <c r="AE422" s="732"/>
      <c r="AF422" s="732"/>
      <c r="AI422" s="109" t="str">
        <f>"2A:sintaikousoku_code:" &amp; IF(I422="■",1,IF(M422="■",2,0))</f>
        <v>2A:sintaikousoku_code:0</v>
      </c>
    </row>
    <row r="423" spans="1:36" s="109" customFormat="1" ht="19.5" customHeight="1" x14ac:dyDescent="0.2">
      <c r="A423" s="139"/>
      <c r="B423" s="123"/>
      <c r="C423" s="140"/>
      <c r="D423" s="141"/>
      <c r="E423" s="128"/>
      <c r="F423" s="142"/>
      <c r="G423" s="143"/>
      <c r="H423" s="155" t="s">
        <v>430</v>
      </c>
      <c r="I423" s="156" t="s">
        <v>383</v>
      </c>
      <c r="J423" s="157" t="s">
        <v>395</v>
      </c>
      <c r="K423" s="158"/>
      <c r="L423" s="159"/>
      <c r="M423" s="160" t="s">
        <v>383</v>
      </c>
      <c r="N423" s="157" t="s">
        <v>431</v>
      </c>
      <c r="O423" s="161"/>
      <c r="P423" s="157"/>
      <c r="Q423" s="162"/>
      <c r="R423" s="162"/>
      <c r="S423" s="162"/>
      <c r="T423" s="162"/>
      <c r="U423" s="162"/>
      <c r="V423" s="162"/>
      <c r="W423" s="162"/>
      <c r="X423" s="163"/>
      <c r="Y423" s="147"/>
      <c r="Z423" s="147"/>
      <c r="AA423" s="147"/>
      <c r="AB423" s="148"/>
      <c r="AC423" s="732"/>
      <c r="AD423" s="732"/>
      <c r="AE423" s="732"/>
      <c r="AF423" s="732"/>
      <c r="AI423" s="109" t="str">
        <f>"2A:field223:" &amp; IF(I423="■",1,IF(M423="■",2,0))</f>
        <v>2A:field223:0</v>
      </c>
    </row>
    <row r="424" spans="1:36" s="109" customFormat="1" ht="19.5" customHeight="1" x14ac:dyDescent="0.2">
      <c r="A424" s="139"/>
      <c r="B424" s="123"/>
      <c r="C424" s="140"/>
      <c r="D424" s="141"/>
      <c r="E424" s="128"/>
      <c r="F424" s="142"/>
      <c r="G424" s="143"/>
      <c r="H424" s="155" t="s">
        <v>448</v>
      </c>
      <c r="I424" s="156" t="s">
        <v>383</v>
      </c>
      <c r="J424" s="157" t="s">
        <v>395</v>
      </c>
      <c r="K424" s="158"/>
      <c r="L424" s="159"/>
      <c r="M424" s="160" t="s">
        <v>383</v>
      </c>
      <c r="N424" s="157" t="s">
        <v>431</v>
      </c>
      <c r="O424" s="161"/>
      <c r="P424" s="157"/>
      <c r="Q424" s="162"/>
      <c r="R424" s="162"/>
      <c r="S424" s="162"/>
      <c r="T424" s="162"/>
      <c r="U424" s="162"/>
      <c r="V424" s="162"/>
      <c r="W424" s="162"/>
      <c r="X424" s="163"/>
      <c r="Y424" s="147"/>
      <c r="Z424" s="147"/>
      <c r="AA424" s="147"/>
      <c r="AB424" s="148"/>
      <c r="AC424" s="732"/>
      <c r="AD424" s="732"/>
      <c r="AE424" s="732"/>
      <c r="AF424" s="732"/>
      <c r="AI424" s="109" t="str">
        <f>"2A:field232:" &amp; IF(I424="■",1,IF(M424="■",2,0))</f>
        <v>2A:field232:0</v>
      </c>
    </row>
    <row r="425" spans="1:36" s="109" customFormat="1" ht="18.75" customHeight="1" x14ac:dyDescent="0.2">
      <c r="A425" s="260"/>
      <c r="B425" s="261"/>
      <c r="C425" s="140"/>
      <c r="D425" s="141"/>
      <c r="E425" s="143"/>
      <c r="F425" s="141"/>
      <c r="G425" s="128"/>
      <c r="H425" s="242" t="s">
        <v>164</v>
      </c>
      <c r="I425" s="156" t="s">
        <v>383</v>
      </c>
      <c r="J425" s="157" t="s">
        <v>300</v>
      </c>
      <c r="K425" s="158"/>
      <c r="L425" s="159"/>
      <c r="M425" s="160" t="s">
        <v>383</v>
      </c>
      <c r="N425" s="157" t="s">
        <v>332</v>
      </c>
      <c r="O425" s="162"/>
      <c r="P425" s="162"/>
      <c r="Q425" s="162"/>
      <c r="R425" s="162"/>
      <c r="S425" s="162"/>
      <c r="T425" s="162"/>
      <c r="U425" s="162"/>
      <c r="V425" s="162"/>
      <c r="W425" s="162"/>
      <c r="X425" s="163"/>
      <c r="Y425" s="154"/>
      <c r="Z425" s="147"/>
      <c r="AA425" s="147"/>
      <c r="AB425" s="148"/>
      <c r="AC425" s="732"/>
      <c r="AD425" s="732"/>
      <c r="AE425" s="732"/>
      <c r="AF425" s="732"/>
      <c r="AI425" s="109" t="str">
        <f>"2A:field190:" &amp; IF(I425="■",1,IF(M425="■",2,0))</f>
        <v>2A:field190:0</v>
      </c>
    </row>
    <row r="426" spans="1:36" s="109" customFormat="1" ht="18.75" customHeight="1" x14ac:dyDescent="0.2">
      <c r="A426" s="260"/>
      <c r="B426" s="261"/>
      <c r="C426" s="140"/>
      <c r="D426" s="141"/>
      <c r="E426" s="143"/>
      <c r="F426" s="141"/>
      <c r="G426" s="128"/>
      <c r="H426" s="242" t="s">
        <v>165</v>
      </c>
      <c r="I426" s="156" t="s">
        <v>383</v>
      </c>
      <c r="J426" s="157" t="s">
        <v>300</v>
      </c>
      <c r="K426" s="158"/>
      <c r="L426" s="159"/>
      <c r="M426" s="160" t="s">
        <v>383</v>
      </c>
      <c r="N426" s="157" t="s">
        <v>332</v>
      </c>
      <c r="O426" s="162"/>
      <c r="P426" s="162"/>
      <c r="Q426" s="162"/>
      <c r="R426" s="162"/>
      <c r="S426" s="162"/>
      <c r="T426" s="162"/>
      <c r="U426" s="162"/>
      <c r="V426" s="162"/>
      <c r="W426" s="162"/>
      <c r="X426" s="163"/>
      <c r="Y426" s="154"/>
      <c r="Z426" s="147"/>
      <c r="AA426" s="147"/>
      <c r="AB426" s="148"/>
      <c r="AC426" s="732"/>
      <c r="AD426" s="732"/>
      <c r="AE426" s="732"/>
      <c r="AF426" s="732"/>
      <c r="AI426" s="109" t="str">
        <f>"2A:field191:" &amp; IF(I426="■",1,IF(M426="■",2,0))</f>
        <v>2A:field191:0</v>
      </c>
    </row>
    <row r="427" spans="1:36" s="109" customFormat="1" ht="18.75" customHeight="1" x14ac:dyDescent="0.2">
      <c r="A427" s="260"/>
      <c r="B427" s="261"/>
      <c r="C427" s="140"/>
      <c r="D427" s="141"/>
      <c r="E427" s="143"/>
      <c r="F427" s="141"/>
      <c r="G427" s="128"/>
      <c r="H427" s="242" t="s">
        <v>110</v>
      </c>
      <c r="I427" s="156" t="s">
        <v>383</v>
      </c>
      <c r="J427" s="157" t="s">
        <v>250</v>
      </c>
      <c r="K427" s="158"/>
      <c r="L427" s="160" t="s">
        <v>383</v>
      </c>
      <c r="M427" s="157" t="s">
        <v>267</v>
      </c>
      <c r="N427" s="162"/>
      <c r="O427" s="162"/>
      <c r="P427" s="162"/>
      <c r="Q427" s="158"/>
      <c r="R427" s="162"/>
      <c r="S427" s="162"/>
      <c r="T427" s="162"/>
      <c r="U427" s="162"/>
      <c r="V427" s="162"/>
      <c r="W427" s="162"/>
      <c r="X427" s="163"/>
      <c r="Y427" s="154"/>
      <c r="Z427" s="147"/>
      <c r="AA427" s="147"/>
      <c r="AB427" s="148"/>
      <c r="AC427" s="732"/>
      <c r="AD427" s="732"/>
      <c r="AE427" s="732"/>
      <c r="AF427" s="732"/>
      <c r="AI427" s="109" t="str">
        <f>"2A:jyakuninti_uke_code:" &amp; IF(I427="■",1,IF(L427="■",2,0))</f>
        <v>2A:jyakuninti_uke_code:0</v>
      </c>
    </row>
    <row r="428" spans="1:36" s="109" customFormat="1" ht="18.75" customHeight="1" x14ac:dyDescent="0.2">
      <c r="A428" s="260"/>
      <c r="B428" s="261"/>
      <c r="C428" s="140"/>
      <c r="D428" s="141"/>
      <c r="E428" s="143"/>
      <c r="F428" s="141"/>
      <c r="G428" s="128"/>
      <c r="H428" s="242" t="s">
        <v>195</v>
      </c>
      <c r="I428" s="156" t="s">
        <v>383</v>
      </c>
      <c r="J428" s="157" t="s">
        <v>265</v>
      </c>
      <c r="K428" s="158"/>
      <c r="L428" s="159"/>
      <c r="M428" s="160" t="s">
        <v>383</v>
      </c>
      <c r="N428" s="157" t="s">
        <v>266</v>
      </c>
      <c r="O428" s="162"/>
      <c r="P428" s="162"/>
      <c r="Q428" s="158"/>
      <c r="R428" s="162"/>
      <c r="S428" s="162"/>
      <c r="T428" s="162"/>
      <c r="U428" s="162"/>
      <c r="V428" s="162"/>
      <c r="W428" s="162"/>
      <c r="X428" s="163"/>
      <c r="Y428" s="154"/>
      <c r="Z428" s="147"/>
      <c r="AA428" s="147"/>
      <c r="AB428" s="148"/>
      <c r="AC428" s="732"/>
      <c r="AD428" s="732"/>
      <c r="AE428" s="732"/>
      <c r="AF428" s="732"/>
      <c r="AI428" s="109" t="str">
        <f>"2A:sougei_code:" &amp; IF(I428="■",1,IF(M428="■",2,0))</f>
        <v>2A:sougei_code:0</v>
      </c>
    </row>
    <row r="429" spans="1:36" s="109" customFormat="1" ht="19.5" customHeight="1" x14ac:dyDescent="0.2">
      <c r="A429" s="260"/>
      <c r="B429" s="261"/>
      <c r="C429" s="140"/>
      <c r="D429" s="141"/>
      <c r="E429" s="143"/>
      <c r="F429" s="118" t="s">
        <v>383</v>
      </c>
      <c r="G429" s="128" t="s">
        <v>368</v>
      </c>
      <c r="H429" s="155" t="s">
        <v>433</v>
      </c>
      <c r="I429" s="156" t="s">
        <v>383</v>
      </c>
      <c r="J429" s="157" t="s">
        <v>250</v>
      </c>
      <c r="K429" s="157"/>
      <c r="L429" s="160" t="s">
        <v>383</v>
      </c>
      <c r="M429" s="157" t="s">
        <v>267</v>
      </c>
      <c r="N429" s="157"/>
      <c r="O429" s="162"/>
      <c r="P429" s="157"/>
      <c r="Q429" s="162"/>
      <c r="R429" s="162"/>
      <c r="S429" s="162"/>
      <c r="T429" s="162"/>
      <c r="U429" s="162"/>
      <c r="V429" s="162"/>
      <c r="W429" s="162"/>
      <c r="X429" s="163"/>
      <c r="Y429" s="147"/>
      <c r="Z429" s="147"/>
      <c r="AA429" s="147"/>
      <c r="AB429" s="148"/>
      <c r="AC429" s="732"/>
      <c r="AD429" s="732"/>
      <c r="AE429" s="732"/>
      <c r="AF429" s="732"/>
      <c r="AI429" s="109" t="str">
        <f>"2A:field224:" &amp; IF(I429="■",1,IF(L429="■",2,0))</f>
        <v>2A:field224:0</v>
      </c>
    </row>
    <row r="430" spans="1:36" s="109" customFormat="1" ht="18.75" customHeight="1" x14ac:dyDescent="0.2">
      <c r="A430" s="125" t="s">
        <v>383</v>
      </c>
      <c r="B430" s="261" t="s">
        <v>220</v>
      </c>
      <c r="C430" s="140" t="s">
        <v>193</v>
      </c>
      <c r="D430" s="118" t="s">
        <v>383</v>
      </c>
      <c r="E430" s="143" t="s">
        <v>371</v>
      </c>
      <c r="F430" s="118" t="s">
        <v>383</v>
      </c>
      <c r="G430" s="128" t="s">
        <v>369</v>
      </c>
      <c r="H430" s="242" t="s">
        <v>112</v>
      </c>
      <c r="I430" s="156" t="s">
        <v>383</v>
      </c>
      <c r="J430" s="157" t="s">
        <v>250</v>
      </c>
      <c r="K430" s="158"/>
      <c r="L430" s="160" t="s">
        <v>383</v>
      </c>
      <c r="M430" s="157" t="s">
        <v>267</v>
      </c>
      <c r="N430" s="162"/>
      <c r="O430" s="162"/>
      <c r="P430" s="162"/>
      <c r="Q430" s="158"/>
      <c r="R430" s="162"/>
      <c r="S430" s="162"/>
      <c r="T430" s="162"/>
      <c r="U430" s="162"/>
      <c r="V430" s="162"/>
      <c r="W430" s="162"/>
      <c r="X430" s="163"/>
      <c r="Y430" s="154"/>
      <c r="Z430" s="147"/>
      <c r="AA430" s="147"/>
      <c r="AB430" s="148"/>
      <c r="AC430" s="732"/>
      <c r="AD430" s="732"/>
      <c r="AE430" s="732"/>
      <c r="AF430" s="732"/>
      <c r="AI430" s="109" t="str">
        <f>"2A:ryouyoushoku_code:" &amp; IF(I430="■",1,IF(L430="■",2,0))</f>
        <v>2A:ryouyoushoku_code:0</v>
      </c>
    </row>
    <row r="431" spans="1:36" s="109" customFormat="1" ht="18.75" customHeight="1" x14ac:dyDescent="0.2">
      <c r="A431" s="260"/>
      <c r="B431" s="261"/>
      <c r="C431" s="140"/>
      <c r="D431" s="141"/>
      <c r="E431" s="143"/>
      <c r="F431" s="118" t="s">
        <v>383</v>
      </c>
      <c r="G431" s="128" t="s">
        <v>370</v>
      </c>
      <c r="H431" s="242" t="s">
        <v>116</v>
      </c>
      <c r="I431" s="156" t="s">
        <v>383</v>
      </c>
      <c r="J431" s="157" t="s">
        <v>250</v>
      </c>
      <c r="K431" s="157"/>
      <c r="L431" s="160" t="s">
        <v>383</v>
      </c>
      <c r="M431" s="157" t="s">
        <v>251</v>
      </c>
      <c r="N431" s="157"/>
      <c r="O431" s="160" t="s">
        <v>383</v>
      </c>
      <c r="P431" s="157" t="s">
        <v>252</v>
      </c>
      <c r="Q431" s="162"/>
      <c r="R431" s="162"/>
      <c r="S431" s="162"/>
      <c r="T431" s="162"/>
      <c r="U431" s="162"/>
      <c r="V431" s="162"/>
      <c r="W431" s="162"/>
      <c r="X431" s="163"/>
      <c r="Y431" s="154"/>
      <c r="Z431" s="147"/>
      <c r="AA431" s="147"/>
      <c r="AB431" s="148"/>
      <c r="AC431" s="732"/>
      <c r="AD431" s="732"/>
      <c r="AE431" s="732"/>
      <c r="AF431" s="732"/>
      <c r="AI431" s="109" t="str">
        <f>"2A:ninti_senmoncare_code:" &amp; IF(I431="■",1,IF(O431="■",3,IF(L431="■",2,0)))</f>
        <v>2A:ninti_senmoncare_code:0</v>
      </c>
    </row>
    <row r="432" spans="1:36" s="109" customFormat="1" ht="18.75" customHeight="1" x14ac:dyDescent="0.2">
      <c r="A432" s="260"/>
      <c r="B432" s="261"/>
      <c r="C432" s="140"/>
      <c r="D432" s="141"/>
      <c r="E432" s="143"/>
      <c r="F432" s="141"/>
      <c r="G432" s="128"/>
      <c r="H432" s="242" t="s">
        <v>142</v>
      </c>
      <c r="I432" s="156" t="s">
        <v>383</v>
      </c>
      <c r="J432" s="157" t="s">
        <v>250</v>
      </c>
      <c r="K432" s="157"/>
      <c r="L432" s="160" t="s">
        <v>383</v>
      </c>
      <c r="M432" s="157" t="s">
        <v>251</v>
      </c>
      <c r="N432" s="157"/>
      <c r="O432" s="160" t="s">
        <v>383</v>
      </c>
      <c r="P432" s="157" t="s">
        <v>252</v>
      </c>
      <c r="Q432" s="162"/>
      <c r="R432" s="162"/>
      <c r="S432" s="162"/>
      <c r="T432" s="162"/>
      <c r="U432" s="162"/>
      <c r="V432" s="162"/>
      <c r="W432" s="162"/>
      <c r="X432" s="163"/>
      <c r="Y432" s="154"/>
      <c r="Z432" s="147"/>
      <c r="AA432" s="147"/>
      <c r="AB432" s="148"/>
      <c r="AC432" s="732"/>
      <c r="AD432" s="732"/>
      <c r="AE432" s="732"/>
      <c r="AF432" s="732"/>
      <c r="AI432" s="109" t="str">
        <f>"2A:field164:" &amp; IF(I432="■",1,IF(L432="■",2,IF(O432="■",3,0)))</f>
        <v>2A:field164:0</v>
      </c>
    </row>
    <row r="433" spans="1:36" s="109" customFormat="1" ht="18.75" customHeight="1" x14ac:dyDescent="0.2">
      <c r="A433" s="260"/>
      <c r="B433" s="261"/>
      <c r="C433" s="140"/>
      <c r="D433" s="141"/>
      <c r="E433" s="143"/>
      <c r="F433" s="141"/>
      <c r="G433" s="128"/>
      <c r="H433" s="741" t="s">
        <v>149</v>
      </c>
      <c r="I433" s="175" t="s">
        <v>383</v>
      </c>
      <c r="J433" s="168" t="s">
        <v>320</v>
      </c>
      <c r="K433" s="168"/>
      <c r="L433" s="251"/>
      <c r="M433" s="251"/>
      <c r="N433" s="251"/>
      <c r="O433" s="251"/>
      <c r="P433" s="206" t="s">
        <v>383</v>
      </c>
      <c r="Q433" s="168" t="s">
        <v>321</v>
      </c>
      <c r="R433" s="251"/>
      <c r="S433" s="251"/>
      <c r="T433" s="251"/>
      <c r="U433" s="251"/>
      <c r="V433" s="251"/>
      <c r="W433" s="251"/>
      <c r="X433" s="252"/>
      <c r="Y433" s="154"/>
      <c r="Z433" s="147"/>
      <c r="AA433" s="147"/>
      <c r="AB433" s="148"/>
      <c r="AC433" s="732"/>
      <c r="AD433" s="732"/>
      <c r="AE433" s="732"/>
      <c r="AF433" s="732"/>
      <c r="AI433" s="109" t="str">
        <f>"2A:" &amp; IF(AND(I433="□",P433="□",I434="□"),"tokusin_jyusho_code:0:tokusin_yakuzai_code:0:shuudan_comu_code:0",IF(I433="■","tokusin_jyusho_code:2","tokusin_jyusho_code:1")
&amp;IF(P433="■",":tokusin_yakuzai_code:2",":tokusin_yakuzai_code:1")
&amp;IF(I434="■",":shuudan_comu_code:2",":shuudan_comu_code:1"))</f>
        <v>2A:tokusin_jyusho_code:0:tokusin_yakuzai_code:0:shuudan_comu_code:0</v>
      </c>
    </row>
    <row r="434" spans="1:36" s="109" customFormat="1" ht="18.75" customHeight="1" x14ac:dyDescent="0.2">
      <c r="A434" s="260"/>
      <c r="B434" s="261"/>
      <c r="C434" s="140"/>
      <c r="D434" s="141"/>
      <c r="E434" s="143"/>
      <c r="F434" s="141"/>
      <c r="G434" s="128"/>
      <c r="H434" s="742"/>
      <c r="I434" s="150" t="s">
        <v>383</v>
      </c>
      <c r="J434" s="169" t="s">
        <v>334</v>
      </c>
      <c r="K434" s="152"/>
      <c r="L434" s="152"/>
      <c r="M434" s="152"/>
      <c r="N434" s="152"/>
      <c r="O434" s="152"/>
      <c r="P434" s="152"/>
      <c r="Q434" s="151"/>
      <c r="R434" s="152"/>
      <c r="S434" s="152"/>
      <c r="T434" s="152"/>
      <c r="U434" s="152"/>
      <c r="V434" s="152"/>
      <c r="W434" s="152"/>
      <c r="X434" s="153"/>
      <c r="Y434" s="154"/>
      <c r="Z434" s="147"/>
      <c r="AA434" s="147"/>
      <c r="AB434" s="148"/>
      <c r="AC434" s="732"/>
      <c r="AD434" s="732"/>
      <c r="AE434" s="732"/>
      <c r="AF434" s="732"/>
    </row>
    <row r="435" spans="1:36" s="109" customFormat="1" ht="18.75" customHeight="1" x14ac:dyDescent="0.2">
      <c r="A435" s="260"/>
      <c r="B435" s="261"/>
      <c r="C435" s="140"/>
      <c r="D435" s="141"/>
      <c r="E435" s="143"/>
      <c r="F435" s="141"/>
      <c r="G435" s="128"/>
      <c r="H435" s="741" t="s">
        <v>103</v>
      </c>
      <c r="I435" s="175" t="s">
        <v>383</v>
      </c>
      <c r="J435" s="168" t="s">
        <v>335</v>
      </c>
      <c r="K435" s="181"/>
      <c r="L435" s="214"/>
      <c r="M435" s="206" t="s">
        <v>383</v>
      </c>
      <c r="N435" s="168" t="s">
        <v>336</v>
      </c>
      <c r="O435" s="251"/>
      <c r="P435" s="251"/>
      <c r="Q435" s="206" t="s">
        <v>383</v>
      </c>
      <c r="R435" s="168" t="s">
        <v>337</v>
      </c>
      <c r="S435" s="251"/>
      <c r="T435" s="251"/>
      <c r="U435" s="251"/>
      <c r="V435" s="251"/>
      <c r="W435" s="251"/>
      <c r="X435" s="252"/>
      <c r="Y435" s="154"/>
      <c r="Z435" s="147"/>
      <c r="AA435" s="147"/>
      <c r="AB435" s="148"/>
      <c r="AC435" s="732"/>
      <c r="AD435" s="732"/>
      <c r="AE435" s="732"/>
      <c r="AF435" s="732"/>
      <c r="AI435" s="109" t="str">
        <f>"2A:"&amp;IF(AND(I435="□",M435="□",Q435="□",I436="□",Q436="□"),"koriha_rryoho1_code:0:koriha_sryoho_code:0:koriha_gengo_code:0:riha_seisin_code:0:koriha_other_code:0",IF(I435="■","koriha_rryoho1_code:2","koriha_rryoho1_code:1")
&amp;IF(M435="■",":koriha_sryoho_code:2",":koriha_sryoho_code:1")
&amp;IF(Q435="■",":koriha_gengo_code:2",":koriha_gengo_code:1")
&amp;IF(I436="■",":riha_seisin_code:2",":riha_seisin_code:1")
&amp;IF(Q436="■",":koriha_other_code:2",":koriha_other_code:1"))</f>
        <v>2A:koriha_rryoho1_code:0:koriha_sryoho_code:0:koriha_gengo_code:0:riha_seisin_code:0:koriha_other_code:0</v>
      </c>
    </row>
    <row r="436" spans="1:36" s="109" customFormat="1" ht="18.75" customHeight="1" x14ac:dyDescent="0.2">
      <c r="A436" s="260"/>
      <c r="B436" s="261"/>
      <c r="C436" s="140"/>
      <c r="D436" s="141"/>
      <c r="E436" s="143"/>
      <c r="F436" s="141"/>
      <c r="G436" s="128"/>
      <c r="H436" s="742"/>
      <c r="I436" s="150" t="s">
        <v>383</v>
      </c>
      <c r="J436" s="169" t="s">
        <v>338</v>
      </c>
      <c r="K436" s="152"/>
      <c r="L436" s="152"/>
      <c r="M436" s="152"/>
      <c r="N436" s="152"/>
      <c r="O436" s="152"/>
      <c r="P436" s="152"/>
      <c r="Q436" s="203" t="s">
        <v>383</v>
      </c>
      <c r="R436" s="169" t="s">
        <v>339</v>
      </c>
      <c r="S436" s="151"/>
      <c r="T436" s="152"/>
      <c r="U436" s="152"/>
      <c r="V436" s="152"/>
      <c r="W436" s="152"/>
      <c r="X436" s="153"/>
      <c r="Y436" s="154"/>
      <c r="Z436" s="147"/>
      <c r="AA436" s="147"/>
      <c r="AB436" s="148"/>
      <c r="AC436" s="732"/>
      <c r="AD436" s="732"/>
      <c r="AE436" s="732"/>
      <c r="AF436" s="732"/>
    </row>
    <row r="437" spans="1:36" s="109" customFormat="1" ht="18.75" customHeight="1" x14ac:dyDescent="0.2">
      <c r="A437" s="260"/>
      <c r="B437" s="261"/>
      <c r="C437" s="140"/>
      <c r="D437" s="141"/>
      <c r="E437" s="143"/>
      <c r="F437" s="141"/>
      <c r="G437" s="128"/>
      <c r="H437" s="250" t="s">
        <v>442</v>
      </c>
      <c r="I437" s="156" t="s">
        <v>383</v>
      </c>
      <c r="J437" s="157" t="s">
        <v>250</v>
      </c>
      <c r="K437" s="157"/>
      <c r="L437" s="160" t="s">
        <v>383</v>
      </c>
      <c r="M437" s="157" t="s">
        <v>251</v>
      </c>
      <c r="N437" s="157"/>
      <c r="O437" s="160" t="s">
        <v>383</v>
      </c>
      <c r="P437" s="157" t="s">
        <v>252</v>
      </c>
      <c r="Q437" s="162"/>
      <c r="R437" s="162"/>
      <c r="S437" s="162"/>
      <c r="T437" s="162"/>
      <c r="U437" s="251"/>
      <c r="V437" s="251"/>
      <c r="W437" s="251"/>
      <c r="X437" s="252"/>
      <c r="Y437" s="154"/>
      <c r="Z437" s="147"/>
      <c r="AA437" s="147"/>
      <c r="AB437" s="148"/>
      <c r="AC437" s="732"/>
      <c r="AD437" s="732"/>
      <c r="AE437" s="732"/>
      <c r="AF437" s="732"/>
      <c r="AI437" s="109" t="str">
        <f>"2A:field225:" &amp; IF(I437="■",1,IF(L437="■",2,IF(O437="■",3,0)))</f>
        <v>2A:field225:0</v>
      </c>
    </row>
    <row r="438" spans="1:36" s="109" customFormat="1" ht="18.75" customHeight="1" x14ac:dyDescent="0.2">
      <c r="A438" s="260"/>
      <c r="B438" s="261"/>
      <c r="C438" s="140"/>
      <c r="D438" s="141"/>
      <c r="E438" s="143"/>
      <c r="F438" s="141"/>
      <c r="G438" s="128"/>
      <c r="H438" s="239" t="s">
        <v>118</v>
      </c>
      <c r="I438" s="156" t="s">
        <v>383</v>
      </c>
      <c r="J438" s="157" t="s">
        <v>250</v>
      </c>
      <c r="K438" s="157"/>
      <c r="L438" s="160" t="s">
        <v>383</v>
      </c>
      <c r="M438" s="157" t="s">
        <v>258</v>
      </c>
      <c r="N438" s="157"/>
      <c r="O438" s="160" t="s">
        <v>383</v>
      </c>
      <c r="P438" s="157" t="s">
        <v>259</v>
      </c>
      <c r="Q438" s="207"/>
      <c r="R438" s="160" t="s">
        <v>383</v>
      </c>
      <c r="S438" s="157" t="s">
        <v>283</v>
      </c>
      <c r="T438" s="207"/>
      <c r="U438" s="207"/>
      <c r="V438" s="207"/>
      <c r="W438" s="207"/>
      <c r="X438" s="208"/>
      <c r="Y438" s="154"/>
      <c r="Z438" s="147"/>
      <c r="AA438" s="147"/>
      <c r="AB438" s="148"/>
      <c r="AC438" s="732"/>
      <c r="AD438" s="732"/>
      <c r="AE438" s="732"/>
      <c r="AF438" s="732"/>
      <c r="AI438" s="109" t="str">
        <f>"2A:serteikyo_kyoka_code:" &amp; IF(I438="■",1,IF(L438="■",6,IF(O438="■",5,IF(R438="■",7,0))))</f>
        <v>2A:serteikyo_kyoka_code:0</v>
      </c>
    </row>
    <row r="439" spans="1:36" s="109" customFormat="1" ht="18.75" customHeight="1" x14ac:dyDescent="0.2">
      <c r="A439" s="139"/>
      <c r="B439" s="670"/>
      <c r="C439" s="140"/>
      <c r="D439" s="141"/>
      <c r="E439" s="143"/>
      <c r="F439" s="141"/>
      <c r="G439" s="128"/>
      <c r="H439" s="713" t="s">
        <v>801</v>
      </c>
      <c r="I439" s="745" t="s">
        <v>383</v>
      </c>
      <c r="J439" s="746" t="s">
        <v>250</v>
      </c>
      <c r="K439" s="746"/>
      <c r="L439" s="747" t="s">
        <v>383</v>
      </c>
      <c r="M439" s="746" t="s">
        <v>267</v>
      </c>
      <c r="N439" s="746"/>
      <c r="O439" s="375"/>
      <c r="P439" s="375"/>
      <c r="Q439" s="375"/>
      <c r="R439" s="375"/>
      <c r="S439" s="375"/>
      <c r="T439" s="375"/>
      <c r="U439" s="375"/>
      <c r="V439" s="375"/>
      <c r="W439" s="375"/>
      <c r="X439" s="441"/>
      <c r="Y439" s="154"/>
      <c r="Z439" s="147"/>
      <c r="AA439" s="147"/>
      <c r="AB439" s="148"/>
      <c r="AC439" s="732"/>
      <c r="AD439" s="732"/>
      <c r="AE439" s="732"/>
      <c r="AF439" s="732"/>
      <c r="AI439" s="109" t="str">
        <f>"23:field221:" &amp; IF(I439="■",1,IF(L439="■",2,0))</f>
        <v>23:field221:0</v>
      </c>
    </row>
    <row r="440" spans="1:36" s="109" customFormat="1" ht="18.75" customHeight="1" x14ac:dyDescent="0.2">
      <c r="A440" s="139"/>
      <c r="B440" s="670"/>
      <c r="C440" s="140"/>
      <c r="D440" s="141"/>
      <c r="E440" s="143"/>
      <c r="F440" s="141"/>
      <c r="G440" s="128"/>
      <c r="H440" s="737"/>
      <c r="I440" s="745"/>
      <c r="J440" s="746"/>
      <c r="K440" s="746"/>
      <c r="L440" s="747"/>
      <c r="M440" s="746"/>
      <c r="N440" s="746"/>
      <c r="O440" s="381"/>
      <c r="P440" s="381"/>
      <c r="Q440" s="381"/>
      <c r="R440" s="381"/>
      <c r="S440" s="381"/>
      <c r="T440" s="381"/>
      <c r="U440" s="381"/>
      <c r="V440" s="381"/>
      <c r="W440" s="381"/>
      <c r="X440" s="442"/>
      <c r="Y440" s="154"/>
      <c r="Z440" s="147"/>
      <c r="AA440" s="147"/>
      <c r="AB440" s="148"/>
      <c r="AC440" s="732"/>
      <c r="AD440" s="732"/>
      <c r="AE440" s="732"/>
      <c r="AF440" s="732"/>
    </row>
    <row r="441" spans="1:36" s="621" customFormat="1" ht="18.75" customHeight="1" x14ac:dyDescent="0.2">
      <c r="A441" s="139"/>
      <c r="B441" s="670"/>
      <c r="C441" s="140"/>
      <c r="D441" s="141"/>
      <c r="E441" s="143"/>
      <c r="F441" s="142"/>
      <c r="G441" s="128"/>
      <c r="H441" s="713" t="s">
        <v>790</v>
      </c>
      <c r="I441" s="642" t="s">
        <v>383</v>
      </c>
      <c r="J441" s="616" t="s">
        <v>627</v>
      </c>
      <c r="K441" s="616"/>
      <c r="L441" s="615"/>
      <c r="M441" s="644" t="s">
        <v>383</v>
      </c>
      <c r="N441" s="616" t="s">
        <v>791</v>
      </c>
      <c r="O441" s="617"/>
      <c r="P441" s="615"/>
      <c r="Q441" s="644" t="s">
        <v>383</v>
      </c>
      <c r="R441" s="618" t="s">
        <v>802</v>
      </c>
      <c r="S441" s="615"/>
      <c r="T441" s="615"/>
      <c r="U441" s="615"/>
      <c r="V441" s="618"/>
      <c r="W441" s="619"/>
      <c r="X441" s="620"/>
      <c r="Y441" s="154"/>
      <c r="Z441" s="147"/>
      <c r="AA441" s="147"/>
      <c r="AB441" s="148"/>
      <c r="AC441" s="732"/>
      <c r="AD441" s="732"/>
      <c r="AE441" s="732"/>
      <c r="AF441" s="732"/>
    </row>
    <row r="442" spans="1:36" s="621" customFormat="1" ht="18.75" customHeight="1" x14ac:dyDescent="0.2">
      <c r="A442" s="139"/>
      <c r="B442" s="670"/>
      <c r="C442" s="140"/>
      <c r="D442" s="141"/>
      <c r="E442" s="143"/>
      <c r="F442" s="142"/>
      <c r="G442" s="128"/>
      <c r="H442" s="714"/>
      <c r="I442" s="643" t="s">
        <v>383</v>
      </c>
      <c r="J442" s="623" t="s">
        <v>803</v>
      </c>
      <c r="K442" s="623"/>
      <c r="L442" s="622"/>
      <c r="M442" s="211" t="s">
        <v>383</v>
      </c>
      <c r="N442" s="623" t="s">
        <v>804</v>
      </c>
      <c r="O442" s="624"/>
      <c r="P442" s="622"/>
      <c r="Q442" s="211" t="s">
        <v>383</v>
      </c>
      <c r="R442" s="623" t="s">
        <v>795</v>
      </c>
      <c r="S442" s="622"/>
      <c r="T442" s="623"/>
      <c r="U442" s="211" t="s">
        <v>383</v>
      </c>
      <c r="V442" s="623" t="s">
        <v>796</v>
      </c>
      <c r="W442" s="625"/>
      <c r="X442" s="626"/>
      <c r="Y442" s="154"/>
      <c r="Z442" s="147"/>
      <c r="AA442" s="147"/>
      <c r="AB442" s="148"/>
      <c r="AC442" s="732"/>
      <c r="AD442" s="732"/>
      <c r="AE442" s="732"/>
      <c r="AF442" s="732"/>
    </row>
    <row r="443" spans="1:36" s="109" customFormat="1" ht="18.75" customHeight="1" x14ac:dyDescent="0.2">
      <c r="A443" s="258"/>
      <c r="B443" s="259"/>
      <c r="C443" s="130"/>
      <c r="D443" s="131"/>
      <c r="E443" s="133"/>
      <c r="F443" s="131"/>
      <c r="G443" s="121"/>
      <c r="H443" s="740" t="s">
        <v>97</v>
      </c>
      <c r="I443" s="412" t="s">
        <v>383</v>
      </c>
      <c r="J443" s="413" t="s">
        <v>300</v>
      </c>
      <c r="K443" s="414"/>
      <c r="L443" s="415"/>
      <c r="M443" s="416" t="s">
        <v>383</v>
      </c>
      <c r="N443" s="413" t="s">
        <v>328</v>
      </c>
      <c r="O443" s="417"/>
      <c r="P443" s="417"/>
      <c r="Q443" s="416" t="s">
        <v>383</v>
      </c>
      <c r="R443" s="413" t="s">
        <v>329</v>
      </c>
      <c r="S443" s="417"/>
      <c r="T443" s="417"/>
      <c r="U443" s="416" t="s">
        <v>383</v>
      </c>
      <c r="V443" s="413" t="s">
        <v>330</v>
      </c>
      <c r="W443" s="417"/>
      <c r="X443" s="418"/>
      <c r="Y443" s="134" t="s">
        <v>383</v>
      </c>
      <c r="Z443" s="119" t="s">
        <v>249</v>
      </c>
      <c r="AA443" s="119"/>
      <c r="AB443" s="137"/>
      <c r="AC443" s="730"/>
      <c r="AD443" s="730"/>
      <c r="AE443" s="730"/>
      <c r="AF443" s="730"/>
      <c r="AG443" s="109" t="str">
        <f>"ser_code = '" &amp; IF(A455="■","2A","") &amp; "'"</f>
        <v>ser_code = ''</v>
      </c>
      <c r="AH443" s="109" t="str">
        <f>"2A:jininkbn_code:"&amp;IF(F454="■",1,IF(F455="■",2,IF(F456="■",3,0)))</f>
        <v>2A:jininkbn_code:0</v>
      </c>
      <c r="AI443" s="109" t="str">
        <f>"2A:yakan_kinmu_code:" &amp; IF(I443="■",1,IF(M443="■",2,IF(Q443="■",3,IF(U443="■",7,IF(I444="■",5,IF(M444="■",6,0))))))</f>
        <v>2A:yakan_kinmu_code:0</v>
      </c>
      <c r="AJ443" s="109" t="str">
        <f>"2A:field203:" &amp; IF(Y443="■",1,IF(Y444="■",2,0))</f>
        <v>2A:field203:0</v>
      </c>
    </row>
    <row r="444" spans="1:36" s="109" customFormat="1" ht="18.75" customHeight="1" x14ac:dyDescent="0.2">
      <c r="A444" s="260"/>
      <c r="B444" s="261"/>
      <c r="C444" s="140"/>
      <c r="D444" s="141"/>
      <c r="E444" s="143"/>
      <c r="F444" s="141"/>
      <c r="G444" s="128"/>
      <c r="H444" s="739"/>
      <c r="I444" s="380" t="s">
        <v>383</v>
      </c>
      <c r="J444" s="381" t="s">
        <v>331</v>
      </c>
      <c r="K444" s="419"/>
      <c r="L444" s="382"/>
      <c r="M444" s="383" t="s">
        <v>383</v>
      </c>
      <c r="N444" s="381" t="s">
        <v>301</v>
      </c>
      <c r="O444" s="384"/>
      <c r="P444" s="384"/>
      <c r="Q444" s="384"/>
      <c r="R444" s="384"/>
      <c r="S444" s="384"/>
      <c r="T444" s="384"/>
      <c r="U444" s="384"/>
      <c r="V444" s="384"/>
      <c r="W444" s="384"/>
      <c r="X444" s="385"/>
      <c r="Y444" s="118" t="s">
        <v>383</v>
      </c>
      <c r="Z444" s="126" t="s">
        <v>255</v>
      </c>
      <c r="AA444" s="147"/>
      <c r="AB444" s="148"/>
      <c r="AC444" s="731"/>
      <c r="AD444" s="731"/>
      <c r="AE444" s="731"/>
      <c r="AF444" s="731"/>
      <c r="AG444" s="109" t="str">
        <f>"2A:sisetukbn_code:"&amp;IF(D455="■","2",0)</f>
        <v>2A:sisetukbn_code:0</v>
      </c>
    </row>
    <row r="445" spans="1:36" s="109" customFormat="1" ht="18.75" customHeight="1" x14ac:dyDescent="0.2">
      <c r="A445" s="260"/>
      <c r="B445" s="261"/>
      <c r="C445" s="140"/>
      <c r="D445" s="141"/>
      <c r="E445" s="143"/>
      <c r="F445" s="141"/>
      <c r="G445" s="128"/>
      <c r="H445" s="738" t="s">
        <v>93</v>
      </c>
      <c r="I445" s="374" t="s">
        <v>383</v>
      </c>
      <c r="J445" s="375" t="s">
        <v>250</v>
      </c>
      <c r="K445" s="375"/>
      <c r="L445" s="376"/>
      <c r="M445" s="377" t="s">
        <v>383</v>
      </c>
      <c r="N445" s="375" t="s">
        <v>289</v>
      </c>
      <c r="O445" s="375"/>
      <c r="P445" s="376"/>
      <c r="Q445" s="377" t="s">
        <v>383</v>
      </c>
      <c r="R445" s="378" t="s">
        <v>372</v>
      </c>
      <c r="S445" s="378"/>
      <c r="T445" s="378"/>
      <c r="U445" s="410"/>
      <c r="V445" s="376"/>
      <c r="W445" s="378"/>
      <c r="X445" s="411"/>
      <c r="Y445" s="154"/>
      <c r="Z445" s="147"/>
      <c r="AA445" s="147"/>
      <c r="AB445" s="148"/>
      <c r="AC445" s="732"/>
      <c r="AD445" s="732"/>
      <c r="AE445" s="732"/>
      <c r="AF445" s="732"/>
      <c r="AI445" s="109" t="str">
        <f>"2A:"&amp;IF(AND(I445="□",M445="□",Q445="□",I446="□",M446="□"),"ketu_doctor_code:0",IF(I445="■","ketu_doctor_code:1:field197:1:ketu_kangos_code:1:ketu_kshoku_code:1",IF(M445="■","ketu_doctor_code:2","ketu_doctor_code:1")
&amp;IF(Q445="■",":field197:2",":field197:1")
&amp;IF(I446="■",":ketu_kangos_code:2",":ketu_kangos_code:1")
&amp;IF(M446="■",":ketu_kshoku_code:2",":ketu_kshoku_code:1")))</f>
        <v>2A:ketu_doctor_code:0</v>
      </c>
    </row>
    <row r="446" spans="1:36" s="109" customFormat="1" ht="18.75" customHeight="1" x14ac:dyDescent="0.2">
      <c r="A446" s="260"/>
      <c r="B446" s="261"/>
      <c r="C446" s="140"/>
      <c r="D446" s="141"/>
      <c r="E446" s="143"/>
      <c r="F446" s="141"/>
      <c r="G446" s="128"/>
      <c r="H446" s="739"/>
      <c r="I446" s="380" t="s">
        <v>383</v>
      </c>
      <c r="J446" s="384" t="s">
        <v>373</v>
      </c>
      <c r="K446" s="384"/>
      <c r="L446" s="384"/>
      <c r="M446" s="383" t="s">
        <v>383</v>
      </c>
      <c r="N446" s="384" t="s">
        <v>374</v>
      </c>
      <c r="O446" s="382"/>
      <c r="P446" s="384"/>
      <c r="Q446" s="384"/>
      <c r="R446" s="382"/>
      <c r="S446" s="384"/>
      <c r="T446" s="384"/>
      <c r="U446" s="436"/>
      <c r="V446" s="382"/>
      <c r="W446" s="384"/>
      <c r="X446" s="437"/>
      <c r="Y446" s="154"/>
      <c r="Z446" s="147"/>
      <c r="AA446" s="147"/>
      <c r="AB446" s="148"/>
      <c r="AC446" s="732"/>
      <c r="AD446" s="732"/>
      <c r="AE446" s="732"/>
      <c r="AF446" s="732"/>
    </row>
    <row r="447" spans="1:36" s="109" customFormat="1" ht="18.75" customHeight="1" x14ac:dyDescent="0.2">
      <c r="A447" s="139"/>
      <c r="B447" s="123"/>
      <c r="C447" s="248"/>
      <c r="D447" s="249"/>
      <c r="E447" s="128"/>
      <c r="F447" s="142"/>
      <c r="G447" s="143"/>
      <c r="H447" s="364" t="s">
        <v>107</v>
      </c>
      <c r="I447" s="349" t="s">
        <v>383</v>
      </c>
      <c r="J447" s="350" t="s">
        <v>395</v>
      </c>
      <c r="K447" s="351"/>
      <c r="L447" s="352"/>
      <c r="M447" s="353" t="s">
        <v>383</v>
      </c>
      <c r="N447" s="350" t="s">
        <v>396</v>
      </c>
      <c r="O447" s="351"/>
      <c r="P447" s="351"/>
      <c r="Q447" s="351"/>
      <c r="R447" s="351"/>
      <c r="S447" s="351"/>
      <c r="T447" s="351"/>
      <c r="U447" s="351"/>
      <c r="V447" s="351"/>
      <c r="W447" s="351"/>
      <c r="X447" s="365"/>
      <c r="Y447" s="154"/>
      <c r="Z447" s="147"/>
      <c r="AA447" s="147"/>
      <c r="AB447" s="148"/>
      <c r="AC447" s="732"/>
      <c r="AD447" s="732"/>
      <c r="AE447" s="732"/>
      <c r="AF447" s="732"/>
      <c r="AI447" s="109" t="str">
        <f>"2A:sintaikousoku_code:" &amp; IF(I447="■",1,IF(M447="■",2,0))</f>
        <v>2A:sintaikousoku_code:0</v>
      </c>
    </row>
    <row r="448" spans="1:36" s="109" customFormat="1" ht="19.5" customHeight="1" x14ac:dyDescent="0.2">
      <c r="A448" s="139"/>
      <c r="B448" s="123"/>
      <c r="C448" s="140"/>
      <c r="D448" s="141"/>
      <c r="E448" s="128"/>
      <c r="F448" s="142"/>
      <c r="G448" s="143"/>
      <c r="H448" s="348" t="s">
        <v>430</v>
      </c>
      <c r="I448" s="349" t="s">
        <v>383</v>
      </c>
      <c r="J448" s="350" t="s">
        <v>395</v>
      </c>
      <c r="K448" s="351"/>
      <c r="L448" s="352"/>
      <c r="M448" s="353" t="s">
        <v>383</v>
      </c>
      <c r="N448" s="350" t="s">
        <v>431</v>
      </c>
      <c r="O448" s="354"/>
      <c r="P448" s="350"/>
      <c r="Q448" s="355"/>
      <c r="R448" s="355"/>
      <c r="S448" s="355"/>
      <c r="T448" s="355"/>
      <c r="U448" s="355"/>
      <c r="V448" s="355"/>
      <c r="W448" s="355"/>
      <c r="X448" s="356"/>
      <c r="Y448" s="147"/>
      <c r="Z448" s="147"/>
      <c r="AA448" s="147"/>
      <c r="AB448" s="148"/>
      <c r="AC448" s="732"/>
      <c r="AD448" s="732"/>
      <c r="AE448" s="732"/>
      <c r="AF448" s="732"/>
      <c r="AI448" s="109" t="str">
        <f>"2A:field223:" &amp; IF(I448="■",1,IF(M448="■",2,0))</f>
        <v>2A:field223:0</v>
      </c>
    </row>
    <row r="449" spans="1:35" s="109" customFormat="1" ht="19.5" customHeight="1" x14ac:dyDescent="0.2">
      <c r="A449" s="139"/>
      <c r="B449" s="123"/>
      <c r="C449" s="140"/>
      <c r="D449" s="141"/>
      <c r="E449" s="128"/>
      <c r="F449" s="142"/>
      <c r="G449" s="143"/>
      <c r="H449" s="155" t="s">
        <v>448</v>
      </c>
      <c r="I449" s="156" t="s">
        <v>383</v>
      </c>
      <c r="J449" s="157" t="s">
        <v>395</v>
      </c>
      <c r="K449" s="158"/>
      <c r="L449" s="159"/>
      <c r="M449" s="160" t="s">
        <v>383</v>
      </c>
      <c r="N449" s="157" t="s">
        <v>431</v>
      </c>
      <c r="O449" s="161"/>
      <c r="P449" s="157"/>
      <c r="Q449" s="162"/>
      <c r="R449" s="162"/>
      <c r="S449" s="162"/>
      <c r="T449" s="162"/>
      <c r="U449" s="162"/>
      <c r="V449" s="162"/>
      <c r="W449" s="162"/>
      <c r="X449" s="163"/>
      <c r="Y449" s="147"/>
      <c r="Z449" s="147"/>
      <c r="AA449" s="147"/>
      <c r="AB449" s="148"/>
      <c r="AC449" s="732"/>
      <c r="AD449" s="732"/>
      <c r="AE449" s="732"/>
      <c r="AF449" s="732"/>
      <c r="AI449" s="109" t="str">
        <f>"2A:field232:" &amp; IF(I449="■",1,IF(M449="■",2,0))</f>
        <v>2A:field232:0</v>
      </c>
    </row>
    <row r="450" spans="1:35" s="1" customFormat="1" ht="19.5" customHeight="1" x14ac:dyDescent="0.2">
      <c r="A450" s="88"/>
      <c r="B450" s="91"/>
      <c r="C450" s="87"/>
      <c r="D450" s="89"/>
      <c r="E450" s="90"/>
      <c r="F450" s="101"/>
      <c r="G450" s="100"/>
      <c r="H450" s="348" t="s">
        <v>638</v>
      </c>
      <c r="I450" s="406" t="s">
        <v>383</v>
      </c>
      <c r="J450" s="381" t="s">
        <v>624</v>
      </c>
      <c r="K450" s="472"/>
      <c r="L450" s="382"/>
      <c r="M450" s="408" t="s">
        <v>383</v>
      </c>
      <c r="N450" s="381" t="s">
        <v>625</v>
      </c>
      <c r="O450" s="473"/>
      <c r="P450" s="381"/>
      <c r="Q450" s="474"/>
      <c r="R450" s="474"/>
      <c r="S450" s="474"/>
      <c r="T450" s="474"/>
      <c r="U450" s="474"/>
      <c r="V450" s="474"/>
      <c r="W450" s="474"/>
      <c r="X450" s="475"/>
      <c r="Y450" s="85"/>
      <c r="Z450" s="2"/>
      <c r="AA450" s="92"/>
      <c r="AB450" s="102"/>
      <c r="AC450" s="732"/>
      <c r="AD450" s="732"/>
      <c r="AE450" s="732"/>
      <c r="AF450" s="732"/>
      <c r="AI450" s="109" t="str">
        <f>"2A:field242:" &amp; IF(I450="■",1,IF(M450="■",2,0))</f>
        <v>2A:field242:0</v>
      </c>
    </row>
    <row r="451" spans="1:35" s="109" customFormat="1" ht="18.75" customHeight="1" x14ac:dyDescent="0.2">
      <c r="A451" s="260"/>
      <c r="B451" s="261"/>
      <c r="C451" s="140"/>
      <c r="D451" s="141"/>
      <c r="E451" s="143"/>
      <c r="F451" s="141"/>
      <c r="G451" s="128"/>
      <c r="H451" s="242" t="s">
        <v>164</v>
      </c>
      <c r="I451" s="156" t="s">
        <v>383</v>
      </c>
      <c r="J451" s="157" t="s">
        <v>300</v>
      </c>
      <c r="K451" s="158"/>
      <c r="L451" s="159"/>
      <c r="M451" s="160" t="s">
        <v>383</v>
      </c>
      <c r="N451" s="157" t="s">
        <v>332</v>
      </c>
      <c r="O451" s="162"/>
      <c r="P451" s="162"/>
      <c r="Q451" s="162"/>
      <c r="R451" s="162"/>
      <c r="S451" s="162"/>
      <c r="T451" s="162"/>
      <c r="U451" s="162"/>
      <c r="V451" s="162"/>
      <c r="W451" s="162"/>
      <c r="X451" s="163"/>
      <c r="Y451" s="154"/>
      <c r="Z451" s="147"/>
      <c r="AA451" s="147"/>
      <c r="AB451" s="148"/>
      <c r="AC451" s="732"/>
      <c r="AD451" s="732"/>
      <c r="AE451" s="732"/>
      <c r="AF451" s="732"/>
      <c r="AI451" s="109" t="str">
        <f>"2A:field190:" &amp; IF(I451="■",1,IF(M451="■",2,0))</f>
        <v>2A:field190:0</v>
      </c>
    </row>
    <row r="452" spans="1:35" s="109" customFormat="1" ht="18.75" customHeight="1" x14ac:dyDescent="0.2">
      <c r="A452" s="260"/>
      <c r="B452" s="261"/>
      <c r="C452" s="140"/>
      <c r="D452" s="141"/>
      <c r="E452" s="143"/>
      <c r="F452" s="141"/>
      <c r="G452" s="128"/>
      <c r="H452" s="242" t="s">
        <v>165</v>
      </c>
      <c r="I452" s="156" t="s">
        <v>383</v>
      </c>
      <c r="J452" s="157" t="s">
        <v>300</v>
      </c>
      <c r="K452" s="158"/>
      <c r="L452" s="159"/>
      <c r="M452" s="160" t="s">
        <v>383</v>
      </c>
      <c r="N452" s="157" t="s">
        <v>332</v>
      </c>
      <c r="O452" s="162"/>
      <c r="P452" s="162"/>
      <c r="Q452" s="162"/>
      <c r="R452" s="162"/>
      <c r="S452" s="162"/>
      <c r="T452" s="162"/>
      <c r="U452" s="162"/>
      <c r="V452" s="162"/>
      <c r="W452" s="162"/>
      <c r="X452" s="163"/>
      <c r="Y452" s="154"/>
      <c r="Z452" s="147"/>
      <c r="AA452" s="147"/>
      <c r="AB452" s="148"/>
      <c r="AC452" s="732"/>
      <c r="AD452" s="732"/>
      <c r="AE452" s="732"/>
      <c r="AF452" s="732"/>
      <c r="AI452" s="109" t="str">
        <f>"2A:field191:" &amp; IF(I452="■",1,IF(M452="■",2,0))</f>
        <v>2A:field191:0</v>
      </c>
    </row>
    <row r="453" spans="1:35" s="109" customFormat="1" ht="18.75" customHeight="1" x14ac:dyDescent="0.2">
      <c r="A453" s="260"/>
      <c r="B453" s="261"/>
      <c r="C453" s="140"/>
      <c r="D453" s="141"/>
      <c r="E453" s="143"/>
      <c r="F453" s="141"/>
      <c r="G453" s="128"/>
      <c r="H453" s="242" t="s">
        <v>110</v>
      </c>
      <c r="I453" s="156" t="s">
        <v>383</v>
      </c>
      <c r="J453" s="157" t="s">
        <v>250</v>
      </c>
      <c r="K453" s="158"/>
      <c r="L453" s="160" t="s">
        <v>383</v>
      </c>
      <c r="M453" s="157" t="s">
        <v>267</v>
      </c>
      <c r="N453" s="162"/>
      <c r="O453" s="162"/>
      <c r="P453" s="162"/>
      <c r="Q453" s="162"/>
      <c r="R453" s="162"/>
      <c r="S453" s="162"/>
      <c r="T453" s="162"/>
      <c r="U453" s="162"/>
      <c r="V453" s="162"/>
      <c r="W453" s="162"/>
      <c r="X453" s="163"/>
      <c r="Y453" s="154"/>
      <c r="Z453" s="147"/>
      <c r="AA453" s="147"/>
      <c r="AB453" s="148"/>
      <c r="AC453" s="732"/>
      <c r="AD453" s="732"/>
      <c r="AE453" s="732"/>
      <c r="AF453" s="732"/>
      <c r="AI453" s="109" t="str">
        <f>"2A:jyakuninti_uke_code:" &amp; IF(I453="■",1,IF(L453="■",2,0))</f>
        <v>2A:jyakuninti_uke_code:0</v>
      </c>
    </row>
    <row r="454" spans="1:35" s="109" customFormat="1" ht="18.75" customHeight="1" x14ac:dyDescent="0.2">
      <c r="A454" s="260"/>
      <c r="B454" s="261"/>
      <c r="C454" s="140"/>
      <c r="D454" s="141"/>
      <c r="E454" s="143"/>
      <c r="F454" s="118" t="s">
        <v>383</v>
      </c>
      <c r="G454" s="128" t="s">
        <v>375</v>
      </c>
      <c r="H454" s="242" t="s">
        <v>95</v>
      </c>
      <c r="I454" s="156" t="s">
        <v>383</v>
      </c>
      <c r="J454" s="157" t="s">
        <v>265</v>
      </c>
      <c r="K454" s="158"/>
      <c r="L454" s="159"/>
      <c r="M454" s="160" t="s">
        <v>383</v>
      </c>
      <c r="N454" s="157" t="s">
        <v>266</v>
      </c>
      <c r="O454" s="162"/>
      <c r="P454" s="162"/>
      <c r="Q454" s="162"/>
      <c r="R454" s="162"/>
      <c r="S454" s="162"/>
      <c r="T454" s="162"/>
      <c r="U454" s="162"/>
      <c r="V454" s="162"/>
      <c r="W454" s="162"/>
      <c r="X454" s="163"/>
      <c r="Y454" s="154"/>
      <c r="Z454" s="147"/>
      <c r="AA454" s="147"/>
      <c r="AB454" s="148"/>
      <c r="AC454" s="732"/>
      <c r="AD454" s="732"/>
      <c r="AE454" s="732"/>
      <c r="AF454" s="732"/>
      <c r="AI454" s="109" t="str">
        <f>"2A:sougei_code:" &amp; IF(I454="■",1,IF(M454="■",2,0))</f>
        <v>2A:sougei_code:0</v>
      </c>
    </row>
    <row r="455" spans="1:35" s="109" customFormat="1" ht="19.5" customHeight="1" x14ac:dyDescent="0.2">
      <c r="A455" s="125" t="s">
        <v>383</v>
      </c>
      <c r="B455" s="261" t="s">
        <v>220</v>
      </c>
      <c r="C455" s="140" t="s">
        <v>193</v>
      </c>
      <c r="D455" s="118" t="s">
        <v>383</v>
      </c>
      <c r="E455" s="143" t="s">
        <v>378</v>
      </c>
      <c r="F455" s="118" t="s">
        <v>383</v>
      </c>
      <c r="G455" s="128" t="s">
        <v>376</v>
      </c>
      <c r="H455" s="155" t="s">
        <v>433</v>
      </c>
      <c r="I455" s="156" t="s">
        <v>383</v>
      </c>
      <c r="J455" s="157" t="s">
        <v>250</v>
      </c>
      <c r="K455" s="157"/>
      <c r="L455" s="160" t="s">
        <v>383</v>
      </c>
      <c r="M455" s="157" t="s">
        <v>267</v>
      </c>
      <c r="N455" s="157"/>
      <c r="O455" s="162"/>
      <c r="P455" s="157"/>
      <c r="Q455" s="162"/>
      <c r="R455" s="162"/>
      <c r="S455" s="162"/>
      <c r="T455" s="162"/>
      <c r="U455" s="162"/>
      <c r="V455" s="162"/>
      <c r="W455" s="162"/>
      <c r="X455" s="163"/>
      <c r="Y455" s="147"/>
      <c r="Z455" s="147"/>
      <c r="AA455" s="147"/>
      <c r="AB455" s="148"/>
      <c r="AC455" s="732"/>
      <c r="AD455" s="732"/>
      <c r="AE455" s="732"/>
      <c r="AF455" s="732"/>
      <c r="AI455" s="109" t="str">
        <f>"2A:field224:" &amp; IF(I455="■",1,IF(L455="■",2,0))</f>
        <v>2A:field224:0</v>
      </c>
    </row>
    <row r="456" spans="1:35" s="109" customFormat="1" ht="18.75" customHeight="1" x14ac:dyDescent="0.2">
      <c r="A456" s="260"/>
      <c r="B456" s="261"/>
      <c r="C456" s="140"/>
      <c r="D456" s="141"/>
      <c r="E456" s="143"/>
      <c r="F456" s="118" t="s">
        <v>383</v>
      </c>
      <c r="G456" s="128" t="s">
        <v>377</v>
      </c>
      <c r="H456" s="242" t="s">
        <v>112</v>
      </c>
      <c r="I456" s="156" t="s">
        <v>383</v>
      </c>
      <c r="J456" s="157" t="s">
        <v>250</v>
      </c>
      <c r="K456" s="158"/>
      <c r="L456" s="160" t="s">
        <v>383</v>
      </c>
      <c r="M456" s="157" t="s">
        <v>267</v>
      </c>
      <c r="N456" s="162"/>
      <c r="O456" s="162"/>
      <c r="P456" s="162"/>
      <c r="Q456" s="162"/>
      <c r="R456" s="162"/>
      <c r="S456" s="162"/>
      <c r="T456" s="162"/>
      <c r="U456" s="162"/>
      <c r="V456" s="162"/>
      <c r="W456" s="162"/>
      <c r="X456" s="163"/>
      <c r="Y456" s="154"/>
      <c r="Z456" s="147"/>
      <c r="AA456" s="147"/>
      <c r="AB456" s="148"/>
      <c r="AC456" s="732"/>
      <c r="AD456" s="732"/>
      <c r="AE456" s="732"/>
      <c r="AF456" s="732"/>
      <c r="AI456" s="109" t="str">
        <f>"2A:ryouyoushoku_code:" &amp; IF(I456="■",1,IF(L456="■",2,0))</f>
        <v>2A:ryouyoushoku_code:0</v>
      </c>
    </row>
    <row r="457" spans="1:35" s="109" customFormat="1" ht="18.75" customHeight="1" x14ac:dyDescent="0.2">
      <c r="A457" s="260"/>
      <c r="B457" s="261"/>
      <c r="C457" s="140"/>
      <c r="D457" s="141"/>
      <c r="E457" s="143"/>
      <c r="F457" s="141"/>
      <c r="G457" s="128"/>
      <c r="H457" s="242" t="s">
        <v>116</v>
      </c>
      <c r="I457" s="156" t="s">
        <v>383</v>
      </c>
      <c r="J457" s="157" t="s">
        <v>250</v>
      </c>
      <c r="K457" s="157"/>
      <c r="L457" s="160" t="s">
        <v>383</v>
      </c>
      <c r="M457" s="157" t="s">
        <v>251</v>
      </c>
      <c r="N457" s="157"/>
      <c r="O457" s="160" t="s">
        <v>383</v>
      </c>
      <c r="P457" s="157" t="s">
        <v>252</v>
      </c>
      <c r="Q457" s="162"/>
      <c r="R457" s="162"/>
      <c r="S457" s="162"/>
      <c r="T457" s="162"/>
      <c r="U457" s="162"/>
      <c r="V457" s="162"/>
      <c r="W457" s="162"/>
      <c r="X457" s="163"/>
      <c r="Y457" s="154"/>
      <c r="Z457" s="147"/>
      <c r="AA457" s="147"/>
      <c r="AB457" s="148"/>
      <c r="AC457" s="732"/>
      <c r="AD457" s="732"/>
      <c r="AE457" s="732"/>
      <c r="AF457" s="732"/>
      <c r="AI457" s="109" t="str">
        <f>"2A:ninti_senmoncare_code:" &amp; IF(I457="■",1,IF(O457="■",3,IF(L457="■",2,0)))</f>
        <v>2A:ninti_senmoncare_code:0</v>
      </c>
    </row>
    <row r="458" spans="1:35" s="109" customFormat="1" ht="18.75" customHeight="1" x14ac:dyDescent="0.2">
      <c r="A458" s="260"/>
      <c r="B458" s="261"/>
      <c r="C458" s="140"/>
      <c r="D458" s="141"/>
      <c r="E458" s="143"/>
      <c r="F458" s="141"/>
      <c r="G458" s="128"/>
      <c r="H458" s="242" t="s">
        <v>142</v>
      </c>
      <c r="I458" s="156" t="s">
        <v>383</v>
      </c>
      <c r="J458" s="157" t="s">
        <v>250</v>
      </c>
      <c r="K458" s="157"/>
      <c r="L458" s="160" t="s">
        <v>383</v>
      </c>
      <c r="M458" s="157" t="s">
        <v>251</v>
      </c>
      <c r="N458" s="157"/>
      <c r="O458" s="160" t="s">
        <v>383</v>
      </c>
      <c r="P458" s="157" t="s">
        <v>252</v>
      </c>
      <c r="Q458" s="162"/>
      <c r="R458" s="162"/>
      <c r="S458" s="162"/>
      <c r="T458" s="162"/>
      <c r="U458" s="162"/>
      <c r="V458" s="162"/>
      <c r="W458" s="162"/>
      <c r="X458" s="163"/>
      <c r="Y458" s="154"/>
      <c r="Z458" s="147"/>
      <c r="AA458" s="147"/>
      <c r="AB458" s="148"/>
      <c r="AC458" s="732"/>
      <c r="AD458" s="732"/>
      <c r="AE458" s="732"/>
      <c r="AF458" s="732"/>
      <c r="AI458" s="109" t="str">
        <f>"2A:field164:" &amp; IF(I458="■",1,IF(L458="■",2,IF(O458="■",3,0)))</f>
        <v>2A:field164:0</v>
      </c>
    </row>
    <row r="459" spans="1:35" s="109" customFormat="1" ht="18.75" customHeight="1" x14ac:dyDescent="0.2">
      <c r="A459" s="260"/>
      <c r="B459" s="261"/>
      <c r="C459" s="140"/>
      <c r="D459" s="141"/>
      <c r="E459" s="143"/>
      <c r="F459" s="141"/>
      <c r="G459" s="128"/>
      <c r="H459" s="741" t="s">
        <v>150</v>
      </c>
      <c r="I459" s="175" t="s">
        <v>383</v>
      </c>
      <c r="J459" s="168" t="s">
        <v>320</v>
      </c>
      <c r="K459" s="168"/>
      <c r="L459" s="251"/>
      <c r="M459" s="251"/>
      <c r="N459" s="251"/>
      <c r="O459" s="251"/>
      <c r="P459" s="206" t="s">
        <v>383</v>
      </c>
      <c r="Q459" s="168" t="s">
        <v>321</v>
      </c>
      <c r="R459" s="251"/>
      <c r="S459" s="251"/>
      <c r="T459" s="251"/>
      <c r="U459" s="251"/>
      <c r="V459" s="251"/>
      <c r="W459" s="251"/>
      <c r="X459" s="252"/>
      <c r="Y459" s="154"/>
      <c r="Z459" s="147"/>
      <c r="AA459" s="147"/>
      <c r="AB459" s="148"/>
      <c r="AC459" s="732"/>
      <c r="AD459" s="732"/>
      <c r="AE459" s="732"/>
      <c r="AF459" s="732"/>
      <c r="AI459" s="109" t="str">
        <f>"2A:" &amp; IF(AND(I459="□",P459="□",I460="□"),"tokusin_jyusho_code:0:tokusin_yakuzai_code:0:shuudan_comu_code:0",IF(I459="■","tokusin_jyusho_code:2","tokusin_jyusho_code:1")
&amp;IF(P459="■",":tokusin_yakuzai_code:2",":tokusin_yakuzai_code:1")
&amp;IF(I460="■",":shuudan_comu_code:2",":shuudan_comu_code:1"))</f>
        <v>2A:tokusin_jyusho_code:0:tokusin_yakuzai_code:0:shuudan_comu_code:0</v>
      </c>
    </row>
    <row r="460" spans="1:35" s="109" customFormat="1" ht="18.75" customHeight="1" x14ac:dyDescent="0.2">
      <c r="A460" s="260"/>
      <c r="B460" s="261"/>
      <c r="C460" s="140"/>
      <c r="D460" s="141"/>
      <c r="E460" s="143"/>
      <c r="F460" s="141"/>
      <c r="G460" s="128"/>
      <c r="H460" s="742"/>
      <c r="I460" s="150" t="s">
        <v>383</v>
      </c>
      <c r="J460" s="169" t="s">
        <v>334</v>
      </c>
      <c r="K460" s="152"/>
      <c r="L460" s="152"/>
      <c r="M460" s="152"/>
      <c r="N460" s="152"/>
      <c r="O460" s="152"/>
      <c r="P460" s="152"/>
      <c r="Q460" s="151"/>
      <c r="R460" s="152"/>
      <c r="S460" s="152"/>
      <c r="T460" s="152"/>
      <c r="U460" s="152"/>
      <c r="V460" s="152"/>
      <c r="W460" s="152"/>
      <c r="X460" s="153"/>
      <c r="Y460" s="154"/>
      <c r="Z460" s="147"/>
      <c r="AA460" s="147"/>
      <c r="AB460" s="148"/>
      <c r="AC460" s="732"/>
      <c r="AD460" s="732"/>
      <c r="AE460" s="732"/>
      <c r="AF460" s="732"/>
    </row>
    <row r="461" spans="1:35" s="109" customFormat="1" ht="18.75" customHeight="1" x14ac:dyDescent="0.2">
      <c r="A461" s="260"/>
      <c r="B461" s="261"/>
      <c r="C461" s="140"/>
      <c r="D461" s="141"/>
      <c r="E461" s="143"/>
      <c r="F461" s="141"/>
      <c r="G461" s="128"/>
      <c r="H461" s="741" t="s">
        <v>103</v>
      </c>
      <c r="I461" s="175" t="s">
        <v>383</v>
      </c>
      <c r="J461" s="168" t="s">
        <v>335</v>
      </c>
      <c r="K461" s="181"/>
      <c r="L461" s="214"/>
      <c r="M461" s="206" t="s">
        <v>383</v>
      </c>
      <c r="N461" s="168" t="s">
        <v>336</v>
      </c>
      <c r="O461" s="251"/>
      <c r="P461" s="251"/>
      <c r="Q461" s="206" t="s">
        <v>383</v>
      </c>
      <c r="R461" s="168" t="s">
        <v>337</v>
      </c>
      <c r="S461" s="251"/>
      <c r="T461" s="251"/>
      <c r="U461" s="251"/>
      <c r="V461" s="251"/>
      <c r="W461" s="251"/>
      <c r="X461" s="252"/>
      <c r="Y461" s="154"/>
      <c r="Z461" s="147"/>
      <c r="AA461" s="147"/>
      <c r="AB461" s="148"/>
      <c r="AC461" s="732"/>
      <c r="AD461" s="732"/>
      <c r="AE461" s="732"/>
      <c r="AF461" s="732"/>
      <c r="AI461" s="109" t="str">
        <f>"2A:"&amp;IF(AND(I461="□",M461="□",Q461="□",I462="□",Q462="□"),"koriha_rryoho1_code:0:koriha_sryoho_code:0:koriha_gengo_code:0:riha_seisin_code:0:koriha_other_code:0",IF(I461="■","koriha_rryoho1_code:2","koriha_rryoho1_code:1")
&amp;IF(M461="■",":koriha_sryoho_code:2",":koriha_sryoho_code:1")
&amp;IF(Q461="■",":koriha_gengo_code:2",":koriha_gengo_code:1")
&amp;IF(I462="■",":riha_seisin_code:2",":riha_seisin_code:1")
&amp;IF(Q462="■",":koriha_other_code:2",":koriha_other_code:1"))</f>
        <v>2A:koriha_rryoho1_code:0:koriha_sryoho_code:0:koriha_gengo_code:0:riha_seisin_code:0:koriha_other_code:0</v>
      </c>
    </row>
    <row r="462" spans="1:35" s="109" customFormat="1" ht="18.75" customHeight="1" x14ac:dyDescent="0.2">
      <c r="A462" s="260"/>
      <c r="B462" s="261"/>
      <c r="C462" s="140"/>
      <c r="D462" s="141"/>
      <c r="E462" s="143"/>
      <c r="F462" s="141"/>
      <c r="G462" s="128"/>
      <c r="H462" s="742"/>
      <c r="I462" s="150" t="s">
        <v>383</v>
      </c>
      <c r="J462" s="169" t="s">
        <v>338</v>
      </c>
      <c r="K462" s="152"/>
      <c r="L462" s="152"/>
      <c r="M462" s="152"/>
      <c r="N462" s="152"/>
      <c r="O462" s="152"/>
      <c r="P462" s="152"/>
      <c r="Q462" s="203" t="s">
        <v>383</v>
      </c>
      <c r="R462" s="169" t="s">
        <v>339</v>
      </c>
      <c r="S462" s="151"/>
      <c r="T462" s="152"/>
      <c r="U462" s="152"/>
      <c r="V462" s="152"/>
      <c r="W462" s="152"/>
      <c r="X462" s="153"/>
      <c r="Y462" s="154"/>
      <c r="Z462" s="147"/>
      <c r="AA462" s="147"/>
      <c r="AB462" s="148"/>
      <c r="AC462" s="732"/>
      <c r="AD462" s="732"/>
      <c r="AE462" s="732"/>
      <c r="AF462" s="732"/>
    </row>
    <row r="463" spans="1:35" s="109" customFormat="1" ht="18.75" customHeight="1" x14ac:dyDescent="0.2">
      <c r="A463" s="260"/>
      <c r="B463" s="261"/>
      <c r="C463" s="140"/>
      <c r="D463" s="141"/>
      <c r="E463" s="143"/>
      <c r="F463" s="141"/>
      <c r="G463" s="128"/>
      <c r="H463" s="250" t="s">
        <v>442</v>
      </c>
      <c r="I463" s="156" t="s">
        <v>383</v>
      </c>
      <c r="J463" s="157" t="s">
        <v>250</v>
      </c>
      <c r="K463" s="157"/>
      <c r="L463" s="160" t="s">
        <v>383</v>
      </c>
      <c r="M463" s="157" t="s">
        <v>251</v>
      </c>
      <c r="N463" s="157"/>
      <c r="O463" s="160" t="s">
        <v>383</v>
      </c>
      <c r="P463" s="157" t="s">
        <v>252</v>
      </c>
      <c r="Q463" s="162"/>
      <c r="R463" s="162"/>
      <c r="S463" s="162"/>
      <c r="T463" s="162"/>
      <c r="U463" s="251"/>
      <c r="V463" s="251"/>
      <c r="W463" s="251"/>
      <c r="X463" s="252"/>
      <c r="Y463" s="154"/>
      <c r="Z463" s="147"/>
      <c r="AA463" s="147"/>
      <c r="AB463" s="148"/>
      <c r="AC463" s="732"/>
      <c r="AD463" s="732"/>
      <c r="AE463" s="732"/>
      <c r="AF463" s="732"/>
      <c r="AI463" s="109" t="str">
        <f>"2A:field225:" &amp; IF(I463="■",1,IF(L463="■",2,IF(O463="■",3,0)))</f>
        <v>2A:field225:0</v>
      </c>
    </row>
    <row r="464" spans="1:35" s="109" customFormat="1" ht="18.75" customHeight="1" x14ac:dyDescent="0.2">
      <c r="A464" s="260"/>
      <c r="B464" s="261"/>
      <c r="C464" s="140"/>
      <c r="D464" s="141"/>
      <c r="E464" s="143"/>
      <c r="F464" s="141"/>
      <c r="G464" s="128"/>
      <c r="H464" s="164" t="s">
        <v>118</v>
      </c>
      <c r="I464" s="156" t="s">
        <v>383</v>
      </c>
      <c r="J464" s="157" t="s">
        <v>250</v>
      </c>
      <c r="K464" s="157"/>
      <c r="L464" s="160" t="s">
        <v>383</v>
      </c>
      <c r="M464" s="157" t="s">
        <v>258</v>
      </c>
      <c r="N464" s="157"/>
      <c r="O464" s="160" t="s">
        <v>383</v>
      </c>
      <c r="P464" s="157" t="s">
        <v>259</v>
      </c>
      <c r="Q464" s="207"/>
      <c r="R464" s="160" t="s">
        <v>383</v>
      </c>
      <c r="S464" s="157" t="s">
        <v>283</v>
      </c>
      <c r="T464" s="207"/>
      <c r="U464" s="207"/>
      <c r="V464" s="207"/>
      <c r="W464" s="207"/>
      <c r="X464" s="208"/>
      <c r="Y464" s="154"/>
      <c r="Z464" s="147"/>
      <c r="AA464" s="147"/>
      <c r="AB464" s="148"/>
      <c r="AC464" s="732"/>
      <c r="AD464" s="732"/>
      <c r="AE464" s="732"/>
      <c r="AF464" s="732"/>
      <c r="AI464" s="109" t="str">
        <f>"2A:serteikyo_kyoka_code:" &amp; IF(I464="■",1,IF(L464="■",6,IF(O464="■",5,IF(R464="■",7,0))))</f>
        <v>2A:serteikyo_kyoka_code:0</v>
      </c>
    </row>
    <row r="465" spans="1:36" s="109" customFormat="1" ht="18.75" customHeight="1" x14ac:dyDescent="0.2">
      <c r="A465" s="139"/>
      <c r="B465" s="670"/>
      <c r="C465" s="140"/>
      <c r="D465" s="141"/>
      <c r="E465" s="143"/>
      <c r="F465" s="141"/>
      <c r="G465" s="128"/>
      <c r="H465" s="713" t="s">
        <v>801</v>
      </c>
      <c r="I465" s="745" t="s">
        <v>383</v>
      </c>
      <c r="J465" s="746" t="s">
        <v>250</v>
      </c>
      <c r="K465" s="746"/>
      <c r="L465" s="747" t="s">
        <v>383</v>
      </c>
      <c r="M465" s="746" t="s">
        <v>267</v>
      </c>
      <c r="N465" s="746"/>
      <c r="O465" s="375"/>
      <c r="P465" s="375"/>
      <c r="Q465" s="375"/>
      <c r="R465" s="375"/>
      <c r="S465" s="375"/>
      <c r="T465" s="375"/>
      <c r="U465" s="375"/>
      <c r="V465" s="375"/>
      <c r="W465" s="375"/>
      <c r="X465" s="441"/>
      <c r="Y465" s="154"/>
      <c r="Z465" s="147"/>
      <c r="AA465" s="147"/>
      <c r="AB465" s="148"/>
      <c r="AC465" s="732"/>
      <c r="AD465" s="732"/>
      <c r="AE465" s="732"/>
      <c r="AF465" s="732"/>
      <c r="AI465" s="109" t="str">
        <f>"23:field221:" &amp; IF(I465="■",1,IF(L465="■",2,0))</f>
        <v>23:field221:0</v>
      </c>
    </row>
    <row r="466" spans="1:36" s="109" customFormat="1" ht="18.75" customHeight="1" x14ac:dyDescent="0.2">
      <c r="A466" s="139"/>
      <c r="B466" s="670"/>
      <c r="C466" s="140"/>
      <c r="D466" s="141"/>
      <c r="E466" s="143"/>
      <c r="F466" s="141"/>
      <c r="G466" s="128"/>
      <c r="H466" s="737"/>
      <c r="I466" s="745"/>
      <c r="J466" s="746"/>
      <c r="K466" s="746"/>
      <c r="L466" s="747"/>
      <c r="M466" s="746"/>
      <c r="N466" s="746"/>
      <c r="O466" s="381"/>
      <c r="P466" s="381"/>
      <c r="Q466" s="381"/>
      <c r="R466" s="381"/>
      <c r="S466" s="381"/>
      <c r="T466" s="381"/>
      <c r="U466" s="381"/>
      <c r="V466" s="381"/>
      <c r="W466" s="381"/>
      <c r="X466" s="442"/>
      <c r="Y466" s="154"/>
      <c r="Z466" s="147"/>
      <c r="AA466" s="147"/>
      <c r="AB466" s="148"/>
      <c r="AC466" s="732"/>
      <c r="AD466" s="732"/>
      <c r="AE466" s="732"/>
      <c r="AF466" s="732"/>
    </row>
    <row r="467" spans="1:36" s="621" customFormat="1" ht="18.75" customHeight="1" x14ac:dyDescent="0.2">
      <c r="A467" s="139"/>
      <c r="B467" s="670"/>
      <c r="C467" s="140"/>
      <c r="D467" s="141"/>
      <c r="E467" s="143"/>
      <c r="F467" s="142"/>
      <c r="G467" s="128"/>
      <c r="H467" s="713" t="s">
        <v>790</v>
      </c>
      <c r="I467" s="642" t="s">
        <v>383</v>
      </c>
      <c r="J467" s="616" t="s">
        <v>627</v>
      </c>
      <c r="K467" s="616"/>
      <c r="L467" s="615"/>
      <c r="M467" s="644" t="s">
        <v>383</v>
      </c>
      <c r="N467" s="616" t="s">
        <v>791</v>
      </c>
      <c r="O467" s="617"/>
      <c r="P467" s="615"/>
      <c r="Q467" s="644" t="s">
        <v>383</v>
      </c>
      <c r="R467" s="618" t="s">
        <v>802</v>
      </c>
      <c r="S467" s="615"/>
      <c r="T467" s="615"/>
      <c r="U467" s="615"/>
      <c r="V467" s="618"/>
      <c r="W467" s="619"/>
      <c r="X467" s="620"/>
      <c r="Y467" s="154"/>
      <c r="Z467" s="147"/>
      <c r="AA467" s="147"/>
      <c r="AB467" s="148"/>
      <c r="AC467" s="732"/>
      <c r="AD467" s="732"/>
      <c r="AE467" s="732"/>
      <c r="AF467" s="732"/>
    </row>
    <row r="468" spans="1:36" s="621" customFormat="1" ht="18.75" customHeight="1" x14ac:dyDescent="0.2">
      <c r="A468" s="139"/>
      <c r="B468" s="670"/>
      <c r="C468" s="140"/>
      <c r="D468" s="141"/>
      <c r="E468" s="143"/>
      <c r="F468" s="142"/>
      <c r="G468" s="128"/>
      <c r="H468" s="714"/>
      <c r="I468" s="643" t="s">
        <v>383</v>
      </c>
      <c r="J468" s="623" t="s">
        <v>803</v>
      </c>
      <c r="K468" s="623"/>
      <c r="L468" s="622"/>
      <c r="M468" s="211" t="s">
        <v>383</v>
      </c>
      <c r="N468" s="623" t="s">
        <v>804</v>
      </c>
      <c r="O468" s="624"/>
      <c r="P468" s="622"/>
      <c r="Q468" s="211" t="s">
        <v>383</v>
      </c>
      <c r="R468" s="623" t="s">
        <v>795</v>
      </c>
      <c r="S468" s="622"/>
      <c r="T468" s="623"/>
      <c r="U468" s="211" t="s">
        <v>383</v>
      </c>
      <c r="V468" s="623" t="s">
        <v>796</v>
      </c>
      <c r="W468" s="625"/>
      <c r="X468" s="626"/>
      <c r="Y468" s="154"/>
      <c r="Z468" s="147"/>
      <c r="AA468" s="147"/>
      <c r="AB468" s="148"/>
      <c r="AC468" s="732"/>
      <c r="AD468" s="732"/>
      <c r="AE468" s="732"/>
      <c r="AF468" s="732"/>
    </row>
    <row r="469" spans="1:36" s="109" customFormat="1" ht="18.75" customHeight="1" x14ac:dyDescent="0.2">
      <c r="A469" s="258"/>
      <c r="B469" s="259"/>
      <c r="C469" s="130"/>
      <c r="D469" s="131"/>
      <c r="E469" s="133"/>
      <c r="F469" s="131"/>
      <c r="G469" s="121"/>
      <c r="H469" s="740" t="s">
        <v>97</v>
      </c>
      <c r="I469" s="412" t="s">
        <v>383</v>
      </c>
      <c r="J469" s="413" t="s">
        <v>300</v>
      </c>
      <c r="K469" s="414"/>
      <c r="L469" s="415"/>
      <c r="M469" s="416" t="s">
        <v>383</v>
      </c>
      <c r="N469" s="413" t="s">
        <v>328</v>
      </c>
      <c r="O469" s="417"/>
      <c r="P469" s="417"/>
      <c r="Q469" s="416" t="s">
        <v>383</v>
      </c>
      <c r="R469" s="413" t="s">
        <v>329</v>
      </c>
      <c r="S469" s="417"/>
      <c r="T469" s="417"/>
      <c r="U469" s="416" t="s">
        <v>383</v>
      </c>
      <c r="V469" s="413" t="s">
        <v>330</v>
      </c>
      <c r="W469" s="417"/>
      <c r="X469" s="418"/>
      <c r="Y469" s="138" t="s">
        <v>383</v>
      </c>
      <c r="Z469" s="119" t="s">
        <v>249</v>
      </c>
      <c r="AA469" s="119"/>
      <c r="AB469" s="137"/>
      <c r="AC469" s="730"/>
      <c r="AD469" s="730"/>
      <c r="AE469" s="730"/>
      <c r="AF469" s="730"/>
      <c r="AG469" s="109" t="str">
        <f>"ser_code = '" &amp; IF(A478="■","2A","") &amp; "'"</f>
        <v>ser_code = ''</v>
      </c>
      <c r="AH469" s="109" t="str">
        <f>"2A:jininkbn_code:"&amp;IF(F478="■",1,0)</f>
        <v>2A:jininkbn_code:0</v>
      </c>
      <c r="AI469" s="109" t="str">
        <f>"2A:yakan_kinmu_code:" &amp; IF(I469="■",1,IF(M469="■",2,IF(Q469="■",3,IF(U469="■",7,IF(I470="■",5,IF(M470="■",6,0))))))</f>
        <v>2A:yakan_kinmu_code:0</v>
      </c>
      <c r="AJ469" s="109" t="str">
        <f>"2A:field203:" &amp; IF(Y469="■",1,IF(Y470="■",2,0))</f>
        <v>2A:field203:0</v>
      </c>
    </row>
    <row r="470" spans="1:36" s="109" customFormat="1" ht="18.75" customHeight="1" x14ac:dyDescent="0.2">
      <c r="A470" s="260"/>
      <c r="B470" s="261"/>
      <c r="C470" s="140"/>
      <c r="D470" s="141"/>
      <c r="E470" s="143"/>
      <c r="F470" s="141"/>
      <c r="G470" s="128"/>
      <c r="H470" s="739"/>
      <c r="I470" s="380" t="s">
        <v>383</v>
      </c>
      <c r="J470" s="381" t="s">
        <v>331</v>
      </c>
      <c r="K470" s="419"/>
      <c r="L470" s="382"/>
      <c r="M470" s="383" t="s">
        <v>383</v>
      </c>
      <c r="N470" s="381" t="s">
        <v>301</v>
      </c>
      <c r="O470" s="384"/>
      <c r="P470" s="384"/>
      <c r="Q470" s="384"/>
      <c r="R470" s="384"/>
      <c r="S470" s="384"/>
      <c r="T470" s="384"/>
      <c r="U470" s="384"/>
      <c r="V470" s="384"/>
      <c r="W470" s="384"/>
      <c r="X470" s="385"/>
      <c r="Y470" s="118" t="s">
        <v>383</v>
      </c>
      <c r="Z470" s="126" t="s">
        <v>255</v>
      </c>
      <c r="AA470" s="147"/>
      <c r="AB470" s="148"/>
      <c r="AC470" s="731"/>
      <c r="AD470" s="731"/>
      <c r="AE470" s="731"/>
      <c r="AF470" s="731"/>
      <c r="AG470" s="109" t="str">
        <f>"2A:sisetukbn_code:"&amp;IF(D478="■","3",0)</f>
        <v>2A:sisetukbn_code:0</v>
      </c>
    </row>
    <row r="471" spans="1:36" s="109" customFormat="1" ht="18.75" customHeight="1" x14ac:dyDescent="0.2">
      <c r="A471" s="260"/>
      <c r="B471" s="261"/>
      <c r="C471" s="140"/>
      <c r="D471" s="141"/>
      <c r="E471" s="143"/>
      <c r="F471" s="141"/>
      <c r="G471" s="128"/>
      <c r="H471" s="738" t="s">
        <v>93</v>
      </c>
      <c r="I471" s="374" t="s">
        <v>383</v>
      </c>
      <c r="J471" s="375" t="s">
        <v>250</v>
      </c>
      <c r="K471" s="375"/>
      <c r="L471" s="376"/>
      <c r="M471" s="377" t="s">
        <v>383</v>
      </c>
      <c r="N471" s="375" t="s">
        <v>289</v>
      </c>
      <c r="O471" s="375"/>
      <c r="P471" s="376"/>
      <c r="Q471" s="377" t="s">
        <v>383</v>
      </c>
      <c r="R471" s="378" t="s">
        <v>372</v>
      </c>
      <c r="S471" s="378"/>
      <c r="T471" s="378"/>
      <c r="U471" s="410"/>
      <c r="V471" s="376"/>
      <c r="W471" s="378"/>
      <c r="X471" s="411"/>
      <c r="Y471" s="154"/>
      <c r="Z471" s="147"/>
      <c r="AA471" s="147"/>
      <c r="AB471" s="148"/>
      <c r="AC471" s="732"/>
      <c r="AD471" s="732"/>
      <c r="AE471" s="732"/>
      <c r="AF471" s="732"/>
      <c r="AI471" s="109"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09" customFormat="1" ht="18.75" customHeight="1" x14ac:dyDescent="0.2">
      <c r="A472" s="260"/>
      <c r="B472" s="261"/>
      <c r="C472" s="140"/>
      <c r="D472" s="141"/>
      <c r="E472" s="143"/>
      <c r="F472" s="141"/>
      <c r="G472" s="128"/>
      <c r="H472" s="739"/>
      <c r="I472" s="380" t="s">
        <v>383</v>
      </c>
      <c r="J472" s="384" t="s">
        <v>373</v>
      </c>
      <c r="K472" s="384"/>
      <c r="L472" s="384"/>
      <c r="M472" s="383" t="s">
        <v>383</v>
      </c>
      <c r="N472" s="384" t="s">
        <v>374</v>
      </c>
      <c r="O472" s="382"/>
      <c r="P472" s="384"/>
      <c r="Q472" s="384"/>
      <c r="R472" s="382"/>
      <c r="S472" s="384"/>
      <c r="T472" s="384"/>
      <c r="U472" s="436"/>
      <c r="V472" s="382"/>
      <c r="W472" s="384"/>
      <c r="X472" s="437"/>
      <c r="Y472" s="154"/>
      <c r="Z472" s="147"/>
      <c r="AA472" s="147"/>
      <c r="AB472" s="148"/>
      <c r="AC472" s="732"/>
      <c r="AD472" s="732"/>
      <c r="AE472" s="732"/>
      <c r="AF472" s="732"/>
    </row>
    <row r="473" spans="1:36" s="109" customFormat="1" ht="18.75" customHeight="1" x14ac:dyDescent="0.2">
      <c r="A473" s="139"/>
      <c r="B473" s="123"/>
      <c r="C473" s="248"/>
      <c r="D473" s="249"/>
      <c r="E473" s="128"/>
      <c r="F473" s="142"/>
      <c r="G473" s="143"/>
      <c r="H473" s="364" t="s">
        <v>107</v>
      </c>
      <c r="I473" s="349" t="s">
        <v>383</v>
      </c>
      <c r="J473" s="350" t="s">
        <v>395</v>
      </c>
      <c r="K473" s="351"/>
      <c r="L473" s="352"/>
      <c r="M473" s="353" t="s">
        <v>383</v>
      </c>
      <c r="N473" s="350" t="s">
        <v>396</v>
      </c>
      <c r="O473" s="351"/>
      <c r="P473" s="351"/>
      <c r="Q473" s="351"/>
      <c r="R473" s="351"/>
      <c r="S473" s="351"/>
      <c r="T473" s="351"/>
      <c r="U473" s="351"/>
      <c r="V473" s="351"/>
      <c r="W473" s="351"/>
      <c r="X473" s="365"/>
      <c r="Y473" s="154"/>
      <c r="Z473" s="147"/>
      <c r="AA473" s="147"/>
      <c r="AB473" s="148"/>
      <c r="AC473" s="732"/>
      <c r="AD473" s="732"/>
      <c r="AE473" s="732"/>
      <c r="AF473" s="732"/>
      <c r="AI473" s="109" t="str">
        <f>"2A:sintaikousoku_code:" &amp; IF(I473="■",1,IF(M473="■",2,0))</f>
        <v>2A:sintaikousoku_code:0</v>
      </c>
    </row>
    <row r="474" spans="1:36" s="109" customFormat="1" ht="19.5" customHeight="1" x14ac:dyDescent="0.2">
      <c r="A474" s="139"/>
      <c r="B474" s="123"/>
      <c r="C474" s="140"/>
      <c r="D474" s="141"/>
      <c r="E474" s="128"/>
      <c r="F474" s="142"/>
      <c r="G474" s="143"/>
      <c r="H474" s="348" t="s">
        <v>430</v>
      </c>
      <c r="I474" s="349" t="s">
        <v>383</v>
      </c>
      <c r="J474" s="350" t="s">
        <v>395</v>
      </c>
      <c r="K474" s="351"/>
      <c r="L474" s="352"/>
      <c r="M474" s="353" t="s">
        <v>383</v>
      </c>
      <c r="N474" s="350" t="s">
        <v>431</v>
      </c>
      <c r="O474" s="354"/>
      <c r="P474" s="350"/>
      <c r="Q474" s="355"/>
      <c r="R474" s="355"/>
      <c r="S474" s="355"/>
      <c r="T474" s="355"/>
      <c r="U474" s="355"/>
      <c r="V474" s="355"/>
      <c r="W474" s="355"/>
      <c r="X474" s="356"/>
      <c r="Y474" s="147"/>
      <c r="Z474" s="147"/>
      <c r="AA474" s="147"/>
      <c r="AB474" s="148"/>
      <c r="AC474" s="732"/>
      <c r="AD474" s="732"/>
      <c r="AE474" s="732"/>
      <c r="AF474" s="732"/>
      <c r="AI474" s="109" t="str">
        <f>"2A:field223:" &amp; IF(I474="■",1,IF(M474="■",2,0))</f>
        <v>2A:field223:0</v>
      </c>
    </row>
    <row r="475" spans="1:36" s="109" customFormat="1" ht="18.75" customHeight="1" x14ac:dyDescent="0.2">
      <c r="A475" s="260"/>
      <c r="B475" s="261"/>
      <c r="C475" s="140"/>
      <c r="D475" s="141"/>
      <c r="E475" s="143"/>
      <c r="F475" s="141"/>
      <c r="G475" s="128"/>
      <c r="H475" s="155" t="s">
        <v>448</v>
      </c>
      <c r="I475" s="156" t="s">
        <v>383</v>
      </c>
      <c r="J475" s="157" t="s">
        <v>395</v>
      </c>
      <c r="K475" s="158"/>
      <c r="L475" s="159"/>
      <c r="M475" s="160" t="s">
        <v>383</v>
      </c>
      <c r="N475" s="157" t="s">
        <v>431</v>
      </c>
      <c r="O475" s="161"/>
      <c r="P475" s="157"/>
      <c r="Q475" s="162"/>
      <c r="R475" s="162"/>
      <c r="S475" s="162"/>
      <c r="T475" s="162"/>
      <c r="U475" s="162"/>
      <c r="V475" s="162"/>
      <c r="W475" s="162"/>
      <c r="X475" s="163"/>
      <c r="Y475" s="147"/>
      <c r="Z475" s="147"/>
      <c r="AA475" s="147"/>
      <c r="AB475" s="148"/>
      <c r="AC475" s="732"/>
      <c r="AD475" s="732"/>
      <c r="AE475" s="732"/>
      <c r="AF475" s="732"/>
      <c r="AI475" s="109" t="str">
        <f>"2A:field232:" &amp; IF(I475="■",1,IF(M475="■",2,0))</f>
        <v>2A:field232:0</v>
      </c>
    </row>
    <row r="476" spans="1:36" s="109" customFormat="1" ht="18.75" customHeight="1" x14ac:dyDescent="0.2">
      <c r="A476" s="260"/>
      <c r="B476" s="261"/>
      <c r="C476" s="140"/>
      <c r="D476" s="141"/>
      <c r="E476" s="143"/>
      <c r="F476" s="141"/>
      <c r="G476" s="128"/>
      <c r="H476" s="242" t="s">
        <v>164</v>
      </c>
      <c r="I476" s="156" t="s">
        <v>383</v>
      </c>
      <c r="J476" s="157" t="s">
        <v>300</v>
      </c>
      <c r="K476" s="158"/>
      <c r="L476" s="159"/>
      <c r="M476" s="160" t="s">
        <v>383</v>
      </c>
      <c r="N476" s="157" t="s">
        <v>332</v>
      </c>
      <c r="O476" s="162"/>
      <c r="P476" s="162"/>
      <c r="Q476" s="162"/>
      <c r="R476" s="162"/>
      <c r="S476" s="162"/>
      <c r="T476" s="162"/>
      <c r="U476" s="162"/>
      <c r="V476" s="162"/>
      <c r="W476" s="162"/>
      <c r="X476" s="163"/>
      <c r="Y476" s="154"/>
      <c r="Z476" s="147"/>
      <c r="AA476" s="147"/>
      <c r="AB476" s="148"/>
      <c r="AC476" s="732"/>
      <c r="AD476" s="732"/>
      <c r="AE476" s="732"/>
      <c r="AF476" s="732"/>
      <c r="AI476" s="109" t="str">
        <f>"2A:field190:" &amp; IF(I476="■",1,IF(M476="■",2,0))</f>
        <v>2A:field190:0</v>
      </c>
    </row>
    <row r="477" spans="1:36" s="109" customFormat="1" ht="18.75" customHeight="1" x14ac:dyDescent="0.2">
      <c r="A477" s="260"/>
      <c r="B477" s="261"/>
      <c r="C477" s="140"/>
      <c r="D477" s="141"/>
      <c r="E477" s="143"/>
      <c r="F477" s="141"/>
      <c r="G477" s="128"/>
      <c r="H477" s="242" t="s">
        <v>165</v>
      </c>
      <c r="I477" s="156" t="s">
        <v>383</v>
      </c>
      <c r="J477" s="157" t="s">
        <v>300</v>
      </c>
      <c r="K477" s="158"/>
      <c r="L477" s="159"/>
      <c r="M477" s="160" t="s">
        <v>383</v>
      </c>
      <c r="N477" s="157" t="s">
        <v>332</v>
      </c>
      <c r="O477" s="162"/>
      <c r="P477" s="162"/>
      <c r="Q477" s="162"/>
      <c r="R477" s="162"/>
      <c r="S477" s="162"/>
      <c r="T477" s="162"/>
      <c r="U477" s="162"/>
      <c r="V477" s="162"/>
      <c r="W477" s="162"/>
      <c r="X477" s="163"/>
      <c r="Y477" s="154"/>
      <c r="Z477" s="147"/>
      <c r="AA477" s="147"/>
      <c r="AB477" s="148"/>
      <c r="AC477" s="732"/>
      <c r="AD477" s="732"/>
      <c r="AE477" s="732"/>
      <c r="AF477" s="732"/>
      <c r="AI477" s="109" t="str">
        <f>"2A:field191:" &amp; IF(I477="■",1,IF(M477="■",2,0))</f>
        <v>2A:field191:0</v>
      </c>
    </row>
    <row r="478" spans="1:36" s="109" customFormat="1" ht="18.75" customHeight="1" x14ac:dyDescent="0.2">
      <c r="A478" s="125" t="s">
        <v>383</v>
      </c>
      <c r="B478" s="261" t="s">
        <v>220</v>
      </c>
      <c r="C478" s="140" t="s">
        <v>193</v>
      </c>
      <c r="D478" s="118" t="s">
        <v>383</v>
      </c>
      <c r="E478" s="143" t="s">
        <v>380</v>
      </c>
      <c r="F478" s="118" t="s">
        <v>383</v>
      </c>
      <c r="G478" s="128" t="s">
        <v>379</v>
      </c>
      <c r="H478" s="242" t="s">
        <v>110</v>
      </c>
      <c r="I478" s="156" t="s">
        <v>383</v>
      </c>
      <c r="J478" s="157" t="s">
        <v>250</v>
      </c>
      <c r="K478" s="158"/>
      <c r="L478" s="160" t="s">
        <v>383</v>
      </c>
      <c r="M478" s="157" t="s">
        <v>267</v>
      </c>
      <c r="N478" s="162"/>
      <c r="O478" s="162"/>
      <c r="P478" s="162"/>
      <c r="Q478" s="162"/>
      <c r="R478" s="162"/>
      <c r="S478" s="162"/>
      <c r="T478" s="162"/>
      <c r="U478" s="162"/>
      <c r="V478" s="162"/>
      <c r="W478" s="162"/>
      <c r="X478" s="163"/>
      <c r="Y478" s="154"/>
      <c r="Z478" s="147"/>
      <c r="AA478" s="147"/>
      <c r="AB478" s="148"/>
      <c r="AC478" s="732"/>
      <c r="AD478" s="732"/>
      <c r="AE478" s="732"/>
      <c r="AF478" s="732"/>
      <c r="AI478" s="109" t="str">
        <f>"2A:jyakuninti_uke_code:" &amp; IF(I478="■",1,IF(L478="■",2,0))</f>
        <v>2A:jyakuninti_uke_code:0</v>
      </c>
    </row>
    <row r="479" spans="1:36" s="109" customFormat="1" ht="18.75" customHeight="1" x14ac:dyDescent="0.2">
      <c r="A479" s="260"/>
      <c r="B479" s="261"/>
      <c r="C479" s="140"/>
      <c r="D479" s="141"/>
      <c r="E479" s="143"/>
      <c r="F479" s="141"/>
      <c r="G479" s="128"/>
      <c r="H479" s="242" t="s">
        <v>95</v>
      </c>
      <c r="I479" s="156" t="s">
        <v>383</v>
      </c>
      <c r="J479" s="157" t="s">
        <v>265</v>
      </c>
      <c r="K479" s="158"/>
      <c r="L479" s="159"/>
      <c r="M479" s="160" t="s">
        <v>383</v>
      </c>
      <c r="N479" s="157" t="s">
        <v>266</v>
      </c>
      <c r="O479" s="162"/>
      <c r="P479" s="162"/>
      <c r="Q479" s="162"/>
      <c r="R479" s="162"/>
      <c r="S479" s="162"/>
      <c r="T479" s="162"/>
      <c r="U479" s="162"/>
      <c r="V479" s="162"/>
      <c r="W479" s="162"/>
      <c r="X479" s="163"/>
      <c r="Y479" s="154"/>
      <c r="Z479" s="147"/>
      <c r="AA479" s="147"/>
      <c r="AB479" s="148"/>
      <c r="AC479" s="732"/>
      <c r="AD479" s="732"/>
      <c r="AE479" s="732"/>
      <c r="AF479" s="732"/>
      <c r="AI479" s="109" t="str">
        <f>"2A:sougei_code:" &amp; IF(I479="■",1,IF(M479="■",2,0))</f>
        <v>2A:sougei_code:0</v>
      </c>
    </row>
    <row r="480" spans="1:36" s="109" customFormat="1" ht="19.5" customHeight="1" x14ac:dyDescent="0.2">
      <c r="A480" s="260"/>
      <c r="B480" s="261"/>
      <c r="C480" s="140"/>
      <c r="D480" s="141"/>
      <c r="E480" s="143"/>
      <c r="F480" s="141"/>
      <c r="G480" s="128"/>
      <c r="H480" s="155" t="s">
        <v>433</v>
      </c>
      <c r="I480" s="156" t="s">
        <v>383</v>
      </c>
      <c r="J480" s="157" t="s">
        <v>250</v>
      </c>
      <c r="K480" s="157"/>
      <c r="L480" s="160" t="s">
        <v>383</v>
      </c>
      <c r="M480" s="157" t="s">
        <v>267</v>
      </c>
      <c r="N480" s="157"/>
      <c r="O480" s="162"/>
      <c r="P480" s="157"/>
      <c r="Q480" s="162"/>
      <c r="R480" s="162"/>
      <c r="S480" s="162"/>
      <c r="T480" s="162"/>
      <c r="U480" s="162"/>
      <c r="V480" s="162"/>
      <c r="W480" s="162"/>
      <c r="X480" s="163"/>
      <c r="Y480" s="147"/>
      <c r="Z480" s="147"/>
      <c r="AA480" s="147"/>
      <c r="AB480" s="148"/>
      <c r="AC480" s="732"/>
      <c r="AD480" s="732"/>
      <c r="AE480" s="732"/>
      <c r="AF480" s="732"/>
      <c r="AI480" s="109" t="str">
        <f>"2A:field224:" &amp; IF(I480="■",1,IF(L480="■",2,0))</f>
        <v>2A:field224:0</v>
      </c>
    </row>
    <row r="481" spans="1:36" s="109" customFormat="1" ht="18.75" customHeight="1" x14ac:dyDescent="0.2">
      <c r="A481" s="260"/>
      <c r="B481" s="261"/>
      <c r="C481" s="140"/>
      <c r="D481" s="141"/>
      <c r="E481" s="143"/>
      <c r="F481" s="141"/>
      <c r="G481" s="128"/>
      <c r="H481" s="242" t="s">
        <v>112</v>
      </c>
      <c r="I481" s="156" t="s">
        <v>383</v>
      </c>
      <c r="J481" s="157" t="s">
        <v>250</v>
      </c>
      <c r="K481" s="158"/>
      <c r="L481" s="160" t="s">
        <v>383</v>
      </c>
      <c r="M481" s="157" t="s">
        <v>267</v>
      </c>
      <c r="N481" s="162"/>
      <c r="O481" s="162"/>
      <c r="P481" s="162"/>
      <c r="Q481" s="162"/>
      <c r="R481" s="162"/>
      <c r="S481" s="162"/>
      <c r="T481" s="162"/>
      <c r="U481" s="162"/>
      <c r="V481" s="162"/>
      <c r="W481" s="162"/>
      <c r="X481" s="163"/>
      <c r="Y481" s="154"/>
      <c r="Z481" s="147"/>
      <c r="AA481" s="147"/>
      <c r="AB481" s="148"/>
      <c r="AC481" s="732"/>
      <c r="AD481" s="732"/>
      <c r="AE481" s="732"/>
      <c r="AF481" s="732"/>
      <c r="AI481" s="109" t="str">
        <f>"2A:ryouyoushoku_code:" &amp; IF(I481="■",1,IF(L481="■",2,0))</f>
        <v>2A:ryouyoushoku_code:0</v>
      </c>
    </row>
    <row r="482" spans="1:36" s="109" customFormat="1" ht="18.75" customHeight="1" x14ac:dyDescent="0.2">
      <c r="A482" s="260"/>
      <c r="B482" s="261"/>
      <c r="C482" s="140"/>
      <c r="D482" s="141"/>
      <c r="E482" s="143"/>
      <c r="F482" s="141"/>
      <c r="G482" s="128"/>
      <c r="H482" s="242" t="s">
        <v>116</v>
      </c>
      <c r="I482" s="156" t="s">
        <v>383</v>
      </c>
      <c r="J482" s="157" t="s">
        <v>250</v>
      </c>
      <c r="K482" s="157"/>
      <c r="L482" s="160" t="s">
        <v>383</v>
      </c>
      <c r="M482" s="157" t="s">
        <v>251</v>
      </c>
      <c r="N482" s="157"/>
      <c r="O482" s="160" t="s">
        <v>383</v>
      </c>
      <c r="P482" s="157" t="s">
        <v>252</v>
      </c>
      <c r="Q482" s="162"/>
      <c r="R482" s="162"/>
      <c r="S482" s="162"/>
      <c r="T482" s="162"/>
      <c r="U482" s="162"/>
      <c r="V482" s="162"/>
      <c r="W482" s="162"/>
      <c r="X482" s="163"/>
      <c r="Y482" s="154"/>
      <c r="Z482" s="147"/>
      <c r="AA482" s="147"/>
      <c r="AB482" s="148"/>
      <c r="AC482" s="732"/>
      <c r="AD482" s="732"/>
      <c r="AE482" s="732"/>
      <c r="AF482" s="732"/>
      <c r="AI482" s="109" t="str">
        <f>"2A:ninti_senmoncare_code:" &amp; IF(I482="■",1,IF(O482="■",3,IF(L482="■",2,0)))</f>
        <v>2A:ninti_senmoncare_code:0</v>
      </c>
    </row>
    <row r="483" spans="1:36" s="109" customFormat="1" ht="18.75" customHeight="1" x14ac:dyDescent="0.2">
      <c r="A483" s="260"/>
      <c r="B483" s="261"/>
      <c r="C483" s="140"/>
      <c r="D483" s="141"/>
      <c r="E483" s="143"/>
      <c r="F483" s="141"/>
      <c r="G483" s="128"/>
      <c r="H483" s="242" t="s">
        <v>221</v>
      </c>
      <c r="I483" s="156" t="s">
        <v>383</v>
      </c>
      <c r="J483" s="157" t="s">
        <v>250</v>
      </c>
      <c r="K483" s="157"/>
      <c r="L483" s="160" t="s">
        <v>383</v>
      </c>
      <c r="M483" s="157" t="s">
        <v>251</v>
      </c>
      <c r="N483" s="157"/>
      <c r="O483" s="160" t="s">
        <v>383</v>
      </c>
      <c r="P483" s="157" t="s">
        <v>252</v>
      </c>
      <c r="Q483" s="162"/>
      <c r="R483" s="162"/>
      <c r="S483" s="162"/>
      <c r="T483" s="162"/>
      <c r="U483" s="162"/>
      <c r="V483" s="162"/>
      <c r="W483" s="162"/>
      <c r="X483" s="163"/>
      <c r="Y483" s="154"/>
      <c r="Z483" s="147"/>
      <c r="AA483" s="147"/>
      <c r="AB483" s="148"/>
      <c r="AC483" s="732"/>
      <c r="AD483" s="732"/>
      <c r="AE483" s="732"/>
      <c r="AF483" s="732"/>
      <c r="AI483" s="109" t="str">
        <f>"2A:field164:" &amp; IF(I483="■",1,IF(L483="■",2,IF(O483="■",3,0)))</f>
        <v>2A:field164:0</v>
      </c>
    </row>
    <row r="484" spans="1:36" s="109" customFormat="1" ht="18.75" customHeight="1" x14ac:dyDescent="0.2">
      <c r="A484" s="260"/>
      <c r="B484" s="261"/>
      <c r="C484" s="140"/>
      <c r="D484" s="141"/>
      <c r="E484" s="143"/>
      <c r="F484" s="141"/>
      <c r="G484" s="128"/>
      <c r="H484" s="250" t="s">
        <v>442</v>
      </c>
      <c r="I484" s="156" t="s">
        <v>383</v>
      </c>
      <c r="J484" s="157" t="s">
        <v>250</v>
      </c>
      <c r="K484" s="157"/>
      <c r="L484" s="160" t="s">
        <v>383</v>
      </c>
      <c r="M484" s="157" t="s">
        <v>251</v>
      </c>
      <c r="N484" s="157"/>
      <c r="O484" s="160" t="s">
        <v>383</v>
      </c>
      <c r="P484" s="157" t="s">
        <v>252</v>
      </c>
      <c r="Q484" s="162"/>
      <c r="R484" s="162"/>
      <c r="S484" s="162"/>
      <c r="T484" s="162"/>
      <c r="U484" s="251"/>
      <c r="V484" s="251"/>
      <c r="W484" s="251"/>
      <c r="X484" s="252"/>
      <c r="Y484" s="154"/>
      <c r="Z484" s="147"/>
      <c r="AA484" s="147"/>
      <c r="AB484" s="148"/>
      <c r="AC484" s="732"/>
      <c r="AD484" s="732"/>
      <c r="AE484" s="732"/>
      <c r="AF484" s="732"/>
      <c r="AI484" s="109" t="str">
        <f>"2A:field225:" &amp; IF(I484="■",1,IF(L484="■",2,IF(O484="■",3,0)))</f>
        <v>2A:field225:0</v>
      </c>
    </row>
    <row r="485" spans="1:36" s="109" customFormat="1" ht="18.75" customHeight="1" x14ac:dyDescent="0.2">
      <c r="A485" s="260"/>
      <c r="B485" s="261"/>
      <c r="C485" s="140"/>
      <c r="D485" s="141"/>
      <c r="E485" s="143"/>
      <c r="F485" s="141"/>
      <c r="G485" s="128"/>
      <c r="H485" s="164" t="s">
        <v>118</v>
      </c>
      <c r="I485" s="156" t="s">
        <v>383</v>
      </c>
      <c r="J485" s="157" t="s">
        <v>250</v>
      </c>
      <c r="K485" s="157"/>
      <c r="L485" s="160" t="s">
        <v>383</v>
      </c>
      <c r="M485" s="157" t="s">
        <v>258</v>
      </c>
      <c r="N485" s="157"/>
      <c r="O485" s="160" t="s">
        <v>383</v>
      </c>
      <c r="P485" s="157" t="s">
        <v>259</v>
      </c>
      <c r="Q485" s="207"/>
      <c r="R485" s="160" t="s">
        <v>383</v>
      </c>
      <c r="S485" s="157" t="s">
        <v>283</v>
      </c>
      <c r="T485" s="207"/>
      <c r="U485" s="207"/>
      <c r="V485" s="207"/>
      <c r="W485" s="207"/>
      <c r="X485" s="208"/>
      <c r="Y485" s="154"/>
      <c r="Z485" s="147"/>
      <c r="AA485" s="147"/>
      <c r="AB485" s="148"/>
      <c r="AC485" s="732"/>
      <c r="AD485" s="732"/>
      <c r="AE485" s="732"/>
      <c r="AF485" s="732"/>
      <c r="AI485" s="109" t="str">
        <f>"2A:serteikyo_kyoka_code:" &amp; IF(I485="■",1,IF(L485="■",6,IF(O485="■",5,IF(R485="■",7,0))))</f>
        <v>2A:serteikyo_kyoka_code:0</v>
      </c>
    </row>
    <row r="486" spans="1:36" s="109" customFormat="1" ht="18.75" customHeight="1" x14ac:dyDescent="0.2">
      <c r="A486" s="139"/>
      <c r="B486" s="670"/>
      <c r="C486" s="140"/>
      <c r="D486" s="141"/>
      <c r="E486" s="143"/>
      <c r="F486" s="141"/>
      <c r="G486" s="128"/>
      <c r="H486" s="713" t="s">
        <v>801</v>
      </c>
      <c r="I486" s="745" t="s">
        <v>383</v>
      </c>
      <c r="J486" s="746" t="s">
        <v>250</v>
      </c>
      <c r="K486" s="746"/>
      <c r="L486" s="747" t="s">
        <v>383</v>
      </c>
      <c r="M486" s="746" t="s">
        <v>267</v>
      </c>
      <c r="N486" s="746"/>
      <c r="O486" s="375"/>
      <c r="P486" s="375"/>
      <c r="Q486" s="375"/>
      <c r="R486" s="375"/>
      <c r="S486" s="375"/>
      <c r="T486" s="375"/>
      <c r="U486" s="375"/>
      <c r="V486" s="375"/>
      <c r="W486" s="375"/>
      <c r="X486" s="441"/>
      <c r="Y486" s="154"/>
      <c r="Z486" s="147"/>
      <c r="AA486" s="147"/>
      <c r="AB486" s="148"/>
      <c r="AC486" s="732"/>
      <c r="AD486" s="732"/>
      <c r="AE486" s="732"/>
      <c r="AF486" s="732"/>
      <c r="AI486" s="109" t="str">
        <f>"23:field221:" &amp; IF(I486="■",1,IF(L486="■",2,0))</f>
        <v>23:field221:0</v>
      </c>
    </row>
    <row r="487" spans="1:36" s="109" customFormat="1" ht="18.75" customHeight="1" x14ac:dyDescent="0.2">
      <c r="A487" s="139"/>
      <c r="B487" s="670"/>
      <c r="C487" s="140"/>
      <c r="D487" s="141"/>
      <c r="E487" s="143"/>
      <c r="F487" s="141"/>
      <c r="G487" s="128"/>
      <c r="H487" s="737"/>
      <c r="I487" s="745"/>
      <c r="J487" s="746"/>
      <c r="K487" s="746"/>
      <c r="L487" s="747"/>
      <c r="M487" s="746"/>
      <c r="N487" s="746"/>
      <c r="O487" s="381"/>
      <c r="P487" s="381"/>
      <c r="Q487" s="381"/>
      <c r="R487" s="381"/>
      <c r="S487" s="381"/>
      <c r="T487" s="381"/>
      <c r="U487" s="381"/>
      <c r="V487" s="381"/>
      <c r="W487" s="381"/>
      <c r="X487" s="442"/>
      <c r="Y487" s="154"/>
      <c r="Z487" s="147"/>
      <c r="AA487" s="147"/>
      <c r="AB487" s="148"/>
      <c r="AC487" s="732"/>
      <c r="AD487" s="732"/>
      <c r="AE487" s="732"/>
      <c r="AF487" s="732"/>
    </row>
    <row r="488" spans="1:36" s="621" customFormat="1" ht="18.75" customHeight="1" x14ac:dyDescent="0.2">
      <c r="A488" s="139"/>
      <c r="B488" s="670"/>
      <c r="C488" s="140"/>
      <c r="D488" s="141"/>
      <c r="E488" s="143"/>
      <c r="F488" s="142"/>
      <c r="G488" s="128"/>
      <c r="H488" s="713" t="s">
        <v>790</v>
      </c>
      <c r="I488" s="642" t="s">
        <v>383</v>
      </c>
      <c r="J488" s="616" t="s">
        <v>627</v>
      </c>
      <c r="K488" s="616"/>
      <c r="L488" s="615"/>
      <c r="M488" s="644" t="s">
        <v>383</v>
      </c>
      <c r="N488" s="616" t="s">
        <v>791</v>
      </c>
      <c r="O488" s="617"/>
      <c r="P488" s="615"/>
      <c r="Q488" s="644" t="s">
        <v>383</v>
      </c>
      <c r="R488" s="618" t="s">
        <v>802</v>
      </c>
      <c r="S488" s="615"/>
      <c r="T488" s="615"/>
      <c r="U488" s="615"/>
      <c r="V488" s="618"/>
      <c r="W488" s="619"/>
      <c r="X488" s="620"/>
      <c r="Y488" s="154"/>
      <c r="Z488" s="147"/>
      <c r="AA488" s="147"/>
      <c r="AB488" s="148"/>
      <c r="AC488" s="732"/>
      <c r="AD488" s="732"/>
      <c r="AE488" s="732"/>
      <c r="AF488" s="732"/>
    </row>
    <row r="489" spans="1:36" s="621" customFormat="1" ht="18.75" customHeight="1" x14ac:dyDescent="0.2">
      <c r="A489" s="139"/>
      <c r="B489" s="670"/>
      <c r="C489" s="140"/>
      <c r="D489" s="141"/>
      <c r="E489" s="143"/>
      <c r="F489" s="142"/>
      <c r="G489" s="128"/>
      <c r="H489" s="714"/>
      <c r="I489" s="643" t="s">
        <v>383</v>
      </c>
      <c r="J489" s="623" t="s">
        <v>803</v>
      </c>
      <c r="K489" s="623"/>
      <c r="L489" s="622"/>
      <c r="M489" s="211" t="s">
        <v>383</v>
      </c>
      <c r="N489" s="623" t="s">
        <v>804</v>
      </c>
      <c r="O489" s="624"/>
      <c r="P489" s="622"/>
      <c r="Q489" s="211" t="s">
        <v>383</v>
      </c>
      <c r="R489" s="623" t="s">
        <v>795</v>
      </c>
      <c r="S489" s="622"/>
      <c r="T489" s="623"/>
      <c r="U489" s="211" t="s">
        <v>383</v>
      </c>
      <c r="V489" s="623" t="s">
        <v>796</v>
      </c>
      <c r="W489" s="625"/>
      <c r="X489" s="626"/>
      <c r="Y489" s="154"/>
      <c r="Z489" s="147"/>
      <c r="AA489" s="147"/>
      <c r="AB489" s="148"/>
      <c r="AC489" s="732"/>
      <c r="AD489" s="732"/>
      <c r="AE489" s="732"/>
      <c r="AF489" s="732"/>
    </row>
    <row r="490" spans="1:36" s="109" customFormat="1" ht="18.75" customHeight="1" x14ac:dyDescent="0.2">
      <c r="A490" s="258"/>
      <c r="B490" s="259"/>
      <c r="C490" s="130"/>
      <c r="D490" s="131"/>
      <c r="E490" s="133"/>
      <c r="F490" s="131"/>
      <c r="G490" s="121"/>
      <c r="H490" s="740" t="s">
        <v>97</v>
      </c>
      <c r="I490" s="412" t="s">
        <v>383</v>
      </c>
      <c r="J490" s="413" t="s">
        <v>300</v>
      </c>
      <c r="K490" s="414"/>
      <c r="L490" s="415"/>
      <c r="M490" s="416" t="s">
        <v>383</v>
      </c>
      <c r="N490" s="413" t="s">
        <v>328</v>
      </c>
      <c r="O490" s="417"/>
      <c r="P490" s="417"/>
      <c r="Q490" s="416" t="s">
        <v>383</v>
      </c>
      <c r="R490" s="413" t="s">
        <v>329</v>
      </c>
      <c r="S490" s="417"/>
      <c r="T490" s="417"/>
      <c r="U490" s="416" t="s">
        <v>383</v>
      </c>
      <c r="V490" s="413" t="s">
        <v>330</v>
      </c>
      <c r="W490" s="417"/>
      <c r="X490" s="418"/>
      <c r="Y490" s="138" t="s">
        <v>383</v>
      </c>
      <c r="Z490" s="119" t="s">
        <v>249</v>
      </c>
      <c r="AA490" s="119"/>
      <c r="AB490" s="137"/>
      <c r="AC490" s="730"/>
      <c r="AD490" s="730"/>
      <c r="AE490" s="730"/>
      <c r="AF490" s="730"/>
      <c r="AG490" s="109" t="str">
        <f>"ser_code = '" &amp; IF(A500="■","2A","") &amp; "'"</f>
        <v>ser_code = ''</v>
      </c>
      <c r="AH490" s="109" t="str">
        <f>"2A:jininkbn_code:"&amp;IF(F500="■",2,0)</f>
        <v>2A:jininkbn_code:0</v>
      </c>
      <c r="AI490" s="109" t="str">
        <f>"2A:yakan_kinmu_code:" &amp; IF(I490="■",1,IF(M490="■",2,IF(Q490="■",3,IF(U490="■",7,IF(I491="■",5,IF(M491="■",6,0))))))</f>
        <v>2A:yakan_kinmu_code:0</v>
      </c>
      <c r="AJ490" s="109" t="str">
        <f>"2A:field203:" &amp; IF(Y490="■",1,IF(Y491="■",2,0))</f>
        <v>2A:field203:0</v>
      </c>
    </row>
    <row r="491" spans="1:36" s="109" customFormat="1" ht="18.75" customHeight="1" x14ac:dyDescent="0.2">
      <c r="A491" s="260"/>
      <c r="B491" s="261"/>
      <c r="C491" s="140"/>
      <c r="D491" s="141"/>
      <c r="E491" s="143"/>
      <c r="F491" s="141"/>
      <c r="G491" s="128"/>
      <c r="H491" s="739"/>
      <c r="I491" s="380" t="s">
        <v>383</v>
      </c>
      <c r="J491" s="381" t="s">
        <v>331</v>
      </c>
      <c r="K491" s="419"/>
      <c r="L491" s="382"/>
      <c r="M491" s="383" t="s">
        <v>383</v>
      </c>
      <c r="N491" s="381" t="s">
        <v>301</v>
      </c>
      <c r="O491" s="384"/>
      <c r="P491" s="384"/>
      <c r="Q491" s="384"/>
      <c r="R491" s="384"/>
      <c r="S491" s="384"/>
      <c r="T491" s="384"/>
      <c r="U491" s="384"/>
      <c r="V491" s="384"/>
      <c r="W491" s="384"/>
      <c r="X491" s="385"/>
      <c r="Y491" s="118" t="s">
        <v>383</v>
      </c>
      <c r="Z491" s="126" t="s">
        <v>255</v>
      </c>
      <c r="AA491" s="147"/>
      <c r="AB491" s="148"/>
      <c r="AC491" s="731"/>
      <c r="AD491" s="731"/>
      <c r="AE491" s="731"/>
      <c r="AF491" s="731"/>
      <c r="AG491" s="109" t="str">
        <f>"2A:sisetukbn_code:"&amp;IF(D500="■","3",0)</f>
        <v>2A:sisetukbn_code:0</v>
      </c>
    </row>
    <row r="492" spans="1:36" s="109" customFormat="1" ht="18.75" customHeight="1" x14ac:dyDescent="0.2">
      <c r="A492" s="260"/>
      <c r="B492" s="261"/>
      <c r="C492" s="140"/>
      <c r="D492" s="141"/>
      <c r="E492" s="143"/>
      <c r="F492" s="141"/>
      <c r="G492" s="128"/>
      <c r="H492" s="738" t="s">
        <v>93</v>
      </c>
      <c r="I492" s="374" t="s">
        <v>383</v>
      </c>
      <c r="J492" s="375" t="s">
        <v>250</v>
      </c>
      <c r="K492" s="375"/>
      <c r="L492" s="376"/>
      <c r="M492" s="377" t="s">
        <v>383</v>
      </c>
      <c r="N492" s="375" t="s">
        <v>289</v>
      </c>
      <c r="O492" s="375"/>
      <c r="P492" s="376"/>
      <c r="Q492" s="377" t="s">
        <v>383</v>
      </c>
      <c r="R492" s="378" t="s">
        <v>372</v>
      </c>
      <c r="S492" s="378"/>
      <c r="T492" s="378"/>
      <c r="U492" s="410"/>
      <c r="V492" s="376"/>
      <c r="W492" s="378"/>
      <c r="X492" s="411"/>
      <c r="Y492" s="154"/>
      <c r="Z492" s="147"/>
      <c r="AA492" s="147"/>
      <c r="AB492" s="148"/>
      <c r="AC492" s="732"/>
      <c r="AD492" s="732"/>
      <c r="AE492" s="732"/>
      <c r="AF492" s="732"/>
      <c r="AI492" s="109"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09" customFormat="1" ht="18.75" customHeight="1" x14ac:dyDescent="0.2">
      <c r="A493" s="260"/>
      <c r="B493" s="261"/>
      <c r="C493" s="140"/>
      <c r="D493" s="141"/>
      <c r="E493" s="143"/>
      <c r="F493" s="141"/>
      <c r="G493" s="128"/>
      <c r="H493" s="739"/>
      <c r="I493" s="380" t="s">
        <v>383</v>
      </c>
      <c r="J493" s="384" t="s">
        <v>373</v>
      </c>
      <c r="K493" s="384"/>
      <c r="L493" s="384"/>
      <c r="M493" s="383" t="s">
        <v>383</v>
      </c>
      <c r="N493" s="384" t="s">
        <v>374</v>
      </c>
      <c r="O493" s="382"/>
      <c r="P493" s="384"/>
      <c r="Q493" s="384"/>
      <c r="R493" s="382"/>
      <c r="S493" s="384"/>
      <c r="T493" s="384"/>
      <c r="U493" s="436"/>
      <c r="V493" s="382"/>
      <c r="W493" s="384"/>
      <c r="X493" s="437"/>
      <c r="Y493" s="154"/>
      <c r="Z493" s="147"/>
      <c r="AA493" s="147"/>
      <c r="AB493" s="148"/>
      <c r="AC493" s="732"/>
      <c r="AD493" s="732"/>
      <c r="AE493" s="732"/>
      <c r="AF493" s="732"/>
    </row>
    <row r="494" spans="1:36" s="109" customFormat="1" ht="18.75" customHeight="1" x14ac:dyDescent="0.2">
      <c r="A494" s="139"/>
      <c r="B494" s="123"/>
      <c r="C494" s="248"/>
      <c r="D494" s="249"/>
      <c r="E494" s="128"/>
      <c r="F494" s="142"/>
      <c r="G494" s="143"/>
      <c r="H494" s="364" t="s">
        <v>107</v>
      </c>
      <c r="I494" s="349" t="s">
        <v>383</v>
      </c>
      <c r="J494" s="350" t="s">
        <v>395</v>
      </c>
      <c r="K494" s="351"/>
      <c r="L494" s="352"/>
      <c r="M494" s="353" t="s">
        <v>383</v>
      </c>
      <c r="N494" s="350" t="s">
        <v>396</v>
      </c>
      <c r="O494" s="351"/>
      <c r="P494" s="351"/>
      <c r="Q494" s="351"/>
      <c r="R494" s="351"/>
      <c r="S494" s="351"/>
      <c r="T494" s="351"/>
      <c r="U494" s="351"/>
      <c r="V494" s="351"/>
      <c r="W494" s="351"/>
      <c r="X494" s="365"/>
      <c r="Y494" s="154"/>
      <c r="Z494" s="147"/>
      <c r="AA494" s="147"/>
      <c r="AB494" s="148"/>
      <c r="AC494" s="732"/>
      <c r="AD494" s="732"/>
      <c r="AE494" s="732"/>
      <c r="AF494" s="732"/>
      <c r="AI494" s="109" t="str">
        <f>"2A:sintaikousoku_code:" &amp; IF(I494="■",1,IF(M494="■",2,0))</f>
        <v>2A:sintaikousoku_code:0</v>
      </c>
    </row>
    <row r="495" spans="1:36" s="109" customFormat="1" ht="19.5" customHeight="1" x14ac:dyDescent="0.2">
      <c r="A495" s="139"/>
      <c r="B495" s="123"/>
      <c r="C495" s="140"/>
      <c r="D495" s="141"/>
      <c r="E495" s="128"/>
      <c r="F495" s="142"/>
      <c r="G495" s="143"/>
      <c r="H495" s="155" t="s">
        <v>430</v>
      </c>
      <c r="I495" s="156" t="s">
        <v>383</v>
      </c>
      <c r="J495" s="157" t="s">
        <v>395</v>
      </c>
      <c r="K495" s="158"/>
      <c r="L495" s="159"/>
      <c r="M495" s="160" t="s">
        <v>383</v>
      </c>
      <c r="N495" s="157" t="s">
        <v>431</v>
      </c>
      <c r="O495" s="161"/>
      <c r="P495" s="157"/>
      <c r="Q495" s="162"/>
      <c r="R495" s="162"/>
      <c r="S495" s="162"/>
      <c r="T495" s="162"/>
      <c r="U495" s="162"/>
      <c r="V495" s="162"/>
      <c r="W495" s="162"/>
      <c r="X495" s="163"/>
      <c r="Y495" s="147"/>
      <c r="Z495" s="147"/>
      <c r="AA495" s="147"/>
      <c r="AB495" s="148"/>
      <c r="AC495" s="732"/>
      <c r="AD495" s="732"/>
      <c r="AE495" s="732"/>
      <c r="AF495" s="732"/>
      <c r="AI495" s="109" t="str">
        <f>"2A:field223:" &amp; IF(I495="■",1,IF(M495="■",2,0))</f>
        <v>2A:field223:0</v>
      </c>
    </row>
    <row r="496" spans="1:36" s="109" customFormat="1" ht="18.75" customHeight="1" x14ac:dyDescent="0.2">
      <c r="A496" s="260"/>
      <c r="B496" s="261"/>
      <c r="C496" s="140"/>
      <c r="D496" s="141"/>
      <c r="E496" s="143"/>
      <c r="F496" s="141"/>
      <c r="G496" s="128"/>
      <c r="H496" s="155" t="s">
        <v>448</v>
      </c>
      <c r="I496" s="156" t="s">
        <v>383</v>
      </c>
      <c r="J496" s="157" t="s">
        <v>395</v>
      </c>
      <c r="K496" s="158"/>
      <c r="L496" s="159"/>
      <c r="M496" s="160" t="s">
        <v>383</v>
      </c>
      <c r="N496" s="157" t="s">
        <v>431</v>
      </c>
      <c r="O496" s="161"/>
      <c r="P496" s="157"/>
      <c r="Q496" s="162"/>
      <c r="R496" s="162"/>
      <c r="S496" s="162"/>
      <c r="T496" s="162"/>
      <c r="U496" s="162"/>
      <c r="V496" s="162"/>
      <c r="W496" s="162"/>
      <c r="X496" s="163"/>
      <c r="Y496" s="147"/>
      <c r="Z496" s="147"/>
      <c r="AA496" s="147"/>
      <c r="AB496" s="148"/>
      <c r="AC496" s="732"/>
      <c r="AD496" s="732"/>
      <c r="AE496" s="732"/>
      <c r="AF496" s="732"/>
      <c r="AI496" s="109" t="str">
        <f>"2A:field232:" &amp; IF(I496="■",1,IF(M496="■",2,0))</f>
        <v>2A:field232:0</v>
      </c>
    </row>
    <row r="497" spans="1:36" s="1" customFormat="1" ht="19.5" customHeight="1" x14ac:dyDescent="0.2">
      <c r="A497" s="88"/>
      <c r="B497" s="91"/>
      <c r="C497" s="87"/>
      <c r="D497" s="89"/>
      <c r="E497" s="90"/>
      <c r="F497" s="101"/>
      <c r="G497" s="100"/>
      <c r="H497" s="348" t="s">
        <v>638</v>
      </c>
      <c r="I497" s="406" t="s">
        <v>383</v>
      </c>
      <c r="J497" s="381" t="s">
        <v>624</v>
      </c>
      <c r="K497" s="472"/>
      <c r="L497" s="382"/>
      <c r="M497" s="408" t="s">
        <v>383</v>
      </c>
      <c r="N497" s="381" t="s">
        <v>625</v>
      </c>
      <c r="O497" s="473"/>
      <c r="P497" s="381"/>
      <c r="Q497" s="474"/>
      <c r="R497" s="474"/>
      <c r="S497" s="474"/>
      <c r="T497" s="474"/>
      <c r="U497" s="474"/>
      <c r="V497" s="474"/>
      <c r="W497" s="474"/>
      <c r="X497" s="475"/>
      <c r="Y497" s="85"/>
      <c r="Z497" s="2"/>
      <c r="AA497" s="92"/>
      <c r="AB497" s="102"/>
      <c r="AC497" s="732"/>
      <c r="AD497" s="732"/>
      <c r="AE497" s="732"/>
      <c r="AF497" s="732"/>
      <c r="AI497" s="109" t="str">
        <f>"2A:field242:" &amp; IF(I497="■",1,IF(M497="■",2,0))</f>
        <v>2A:field242:0</v>
      </c>
    </row>
    <row r="498" spans="1:36" s="109" customFormat="1" ht="18.75" customHeight="1" x14ac:dyDescent="0.2">
      <c r="A498" s="260"/>
      <c r="B498" s="261"/>
      <c r="C498" s="140"/>
      <c r="D498" s="141"/>
      <c r="E498" s="143"/>
      <c r="F498" s="141"/>
      <c r="G498" s="128"/>
      <c r="H498" s="242" t="s">
        <v>164</v>
      </c>
      <c r="I498" s="156" t="s">
        <v>383</v>
      </c>
      <c r="J498" s="157" t="s">
        <v>300</v>
      </c>
      <c r="K498" s="158"/>
      <c r="L498" s="159"/>
      <c r="M498" s="160" t="s">
        <v>383</v>
      </c>
      <c r="N498" s="157" t="s">
        <v>332</v>
      </c>
      <c r="O498" s="162"/>
      <c r="P498" s="162"/>
      <c r="Q498" s="162"/>
      <c r="R498" s="162"/>
      <c r="S498" s="162"/>
      <c r="T498" s="162"/>
      <c r="U498" s="162"/>
      <c r="V498" s="162"/>
      <c r="W498" s="162"/>
      <c r="X498" s="163"/>
      <c r="Y498" s="154"/>
      <c r="Z498" s="147"/>
      <c r="AA498" s="147"/>
      <c r="AB498" s="148"/>
      <c r="AC498" s="732"/>
      <c r="AD498" s="732"/>
      <c r="AE498" s="732"/>
      <c r="AF498" s="732"/>
      <c r="AI498" s="109" t="str">
        <f>"2A:field190:" &amp; IF(I498="■",1,IF(M498="■",2,0))</f>
        <v>2A:field190:0</v>
      </c>
    </row>
    <row r="499" spans="1:36" s="109" customFormat="1" ht="18.75" customHeight="1" x14ac:dyDescent="0.2">
      <c r="A499" s="260"/>
      <c r="B499" s="261"/>
      <c r="C499" s="140"/>
      <c r="D499" s="141"/>
      <c r="E499" s="143"/>
      <c r="F499" s="141"/>
      <c r="G499" s="128"/>
      <c r="H499" s="242" t="s">
        <v>165</v>
      </c>
      <c r="I499" s="156" t="s">
        <v>383</v>
      </c>
      <c r="J499" s="157" t="s">
        <v>300</v>
      </c>
      <c r="K499" s="158"/>
      <c r="L499" s="159"/>
      <c r="M499" s="160" t="s">
        <v>383</v>
      </c>
      <c r="N499" s="157" t="s">
        <v>332</v>
      </c>
      <c r="O499" s="162"/>
      <c r="P499" s="162"/>
      <c r="Q499" s="162"/>
      <c r="R499" s="162"/>
      <c r="S499" s="162"/>
      <c r="T499" s="162"/>
      <c r="U499" s="162"/>
      <c r="V499" s="162"/>
      <c r="W499" s="162"/>
      <c r="X499" s="163"/>
      <c r="Y499" s="154"/>
      <c r="Z499" s="147"/>
      <c r="AA499" s="147"/>
      <c r="AB499" s="148"/>
      <c r="AC499" s="732"/>
      <c r="AD499" s="732"/>
      <c r="AE499" s="732"/>
      <c r="AF499" s="732"/>
      <c r="AI499" s="109" t="str">
        <f>"2A:field191:" &amp; IF(I499="■",1,IF(M499="■",2,0))</f>
        <v>2A:field191:0</v>
      </c>
    </row>
    <row r="500" spans="1:36" s="109" customFormat="1" ht="18.75" customHeight="1" x14ac:dyDescent="0.2">
      <c r="A500" s="125" t="s">
        <v>383</v>
      </c>
      <c r="B500" s="261" t="s">
        <v>220</v>
      </c>
      <c r="C500" s="140" t="s">
        <v>193</v>
      </c>
      <c r="D500" s="118" t="s">
        <v>383</v>
      </c>
      <c r="E500" s="143" t="s">
        <v>380</v>
      </c>
      <c r="F500" s="118" t="s">
        <v>383</v>
      </c>
      <c r="G500" s="128" t="s">
        <v>365</v>
      </c>
      <c r="H500" s="242" t="s">
        <v>110</v>
      </c>
      <c r="I500" s="156" t="s">
        <v>383</v>
      </c>
      <c r="J500" s="157" t="s">
        <v>250</v>
      </c>
      <c r="K500" s="158"/>
      <c r="L500" s="160" t="s">
        <v>383</v>
      </c>
      <c r="M500" s="157" t="s">
        <v>267</v>
      </c>
      <c r="N500" s="162"/>
      <c r="O500" s="162"/>
      <c r="P500" s="162"/>
      <c r="Q500" s="162"/>
      <c r="R500" s="162"/>
      <c r="S500" s="162"/>
      <c r="T500" s="162"/>
      <c r="U500" s="162"/>
      <c r="V500" s="162"/>
      <c r="W500" s="162"/>
      <c r="X500" s="163"/>
      <c r="Y500" s="154"/>
      <c r="Z500" s="147"/>
      <c r="AA500" s="147"/>
      <c r="AB500" s="148"/>
      <c r="AC500" s="732"/>
      <c r="AD500" s="732"/>
      <c r="AE500" s="732"/>
      <c r="AF500" s="732"/>
      <c r="AI500" s="109" t="str">
        <f>"2A:jyakuninti_uke_code:" &amp; IF(I500="■",1,IF(L500="■",2,0))</f>
        <v>2A:jyakuninti_uke_code:0</v>
      </c>
    </row>
    <row r="501" spans="1:36" s="109" customFormat="1" ht="18.75" customHeight="1" x14ac:dyDescent="0.2">
      <c r="A501" s="260"/>
      <c r="B501" s="261"/>
      <c r="C501" s="140"/>
      <c r="D501" s="141"/>
      <c r="E501" s="143"/>
      <c r="F501" s="141"/>
      <c r="G501" s="128"/>
      <c r="H501" s="242" t="s">
        <v>95</v>
      </c>
      <c r="I501" s="156" t="s">
        <v>383</v>
      </c>
      <c r="J501" s="157" t="s">
        <v>265</v>
      </c>
      <c r="K501" s="158"/>
      <c r="L501" s="159"/>
      <c r="M501" s="160" t="s">
        <v>383</v>
      </c>
      <c r="N501" s="157" t="s">
        <v>266</v>
      </c>
      <c r="O501" s="162"/>
      <c r="P501" s="162"/>
      <c r="Q501" s="162"/>
      <c r="R501" s="162"/>
      <c r="S501" s="162"/>
      <c r="T501" s="162"/>
      <c r="U501" s="162"/>
      <c r="V501" s="162"/>
      <c r="W501" s="162"/>
      <c r="X501" s="163"/>
      <c r="Y501" s="154"/>
      <c r="Z501" s="147"/>
      <c r="AA501" s="147"/>
      <c r="AB501" s="148"/>
      <c r="AC501" s="732"/>
      <c r="AD501" s="732"/>
      <c r="AE501" s="732"/>
      <c r="AF501" s="732"/>
      <c r="AI501" s="109" t="str">
        <f>"2A:sougei_code:" &amp; IF(I501="■",1,IF(M501="■",2,0))</f>
        <v>2A:sougei_code:0</v>
      </c>
    </row>
    <row r="502" spans="1:36" s="109" customFormat="1" ht="19.5" customHeight="1" x14ac:dyDescent="0.2">
      <c r="A502" s="260"/>
      <c r="B502" s="261"/>
      <c r="C502" s="140"/>
      <c r="D502" s="141"/>
      <c r="E502" s="143"/>
      <c r="F502" s="141"/>
      <c r="G502" s="128"/>
      <c r="H502" s="155" t="s">
        <v>433</v>
      </c>
      <c r="I502" s="156" t="s">
        <v>383</v>
      </c>
      <c r="J502" s="157" t="s">
        <v>250</v>
      </c>
      <c r="K502" s="157"/>
      <c r="L502" s="160" t="s">
        <v>383</v>
      </c>
      <c r="M502" s="157" t="s">
        <v>267</v>
      </c>
      <c r="N502" s="157"/>
      <c r="O502" s="162"/>
      <c r="P502" s="157"/>
      <c r="Q502" s="162"/>
      <c r="R502" s="162"/>
      <c r="S502" s="162"/>
      <c r="T502" s="162"/>
      <c r="U502" s="162"/>
      <c r="V502" s="162"/>
      <c r="W502" s="162"/>
      <c r="X502" s="163"/>
      <c r="Y502" s="147"/>
      <c r="Z502" s="147"/>
      <c r="AA502" s="147"/>
      <c r="AB502" s="148"/>
      <c r="AC502" s="732"/>
      <c r="AD502" s="732"/>
      <c r="AE502" s="732"/>
      <c r="AF502" s="732"/>
      <c r="AI502" s="109" t="str">
        <f>"2A:field224:" &amp; IF(I502="■",1,IF(L502="■",2,0))</f>
        <v>2A:field224:0</v>
      </c>
    </row>
    <row r="503" spans="1:36" s="109" customFormat="1" ht="18.75" customHeight="1" x14ac:dyDescent="0.2">
      <c r="A503" s="260"/>
      <c r="B503" s="261"/>
      <c r="C503" s="140"/>
      <c r="D503" s="141"/>
      <c r="E503" s="143"/>
      <c r="F503" s="141"/>
      <c r="G503" s="128"/>
      <c r="H503" s="242" t="s">
        <v>112</v>
      </c>
      <c r="I503" s="156" t="s">
        <v>383</v>
      </c>
      <c r="J503" s="157" t="s">
        <v>250</v>
      </c>
      <c r="K503" s="158"/>
      <c r="L503" s="160" t="s">
        <v>383</v>
      </c>
      <c r="M503" s="157" t="s">
        <v>267</v>
      </c>
      <c r="N503" s="162"/>
      <c r="O503" s="162"/>
      <c r="P503" s="162"/>
      <c r="Q503" s="162"/>
      <c r="R503" s="162"/>
      <c r="S503" s="162"/>
      <c r="T503" s="162"/>
      <c r="U503" s="162"/>
      <c r="V503" s="162"/>
      <c r="W503" s="162"/>
      <c r="X503" s="163"/>
      <c r="Y503" s="154"/>
      <c r="Z503" s="147"/>
      <c r="AA503" s="147"/>
      <c r="AB503" s="148"/>
      <c r="AC503" s="732"/>
      <c r="AD503" s="732"/>
      <c r="AE503" s="732"/>
      <c r="AF503" s="732"/>
      <c r="AI503" s="109" t="str">
        <f>"2A:ryouyoushoku_code:" &amp; IF(I503="■",1,IF(L503="■",2,0))</f>
        <v>2A:ryouyoushoku_code:0</v>
      </c>
    </row>
    <row r="504" spans="1:36" s="109" customFormat="1" ht="18.75" customHeight="1" x14ac:dyDescent="0.2">
      <c r="A504" s="260"/>
      <c r="B504" s="261"/>
      <c r="C504" s="140"/>
      <c r="D504" s="141"/>
      <c r="E504" s="143"/>
      <c r="F504" s="141"/>
      <c r="G504" s="128"/>
      <c r="H504" s="242" t="s">
        <v>116</v>
      </c>
      <c r="I504" s="156" t="s">
        <v>383</v>
      </c>
      <c r="J504" s="157" t="s">
        <v>250</v>
      </c>
      <c r="K504" s="157"/>
      <c r="L504" s="160" t="s">
        <v>383</v>
      </c>
      <c r="M504" s="157" t="s">
        <v>251</v>
      </c>
      <c r="N504" s="157"/>
      <c r="O504" s="160" t="s">
        <v>383</v>
      </c>
      <c r="P504" s="157" t="s">
        <v>252</v>
      </c>
      <c r="Q504" s="162"/>
      <c r="R504" s="162"/>
      <c r="S504" s="162"/>
      <c r="T504" s="162"/>
      <c r="U504" s="162"/>
      <c r="V504" s="162"/>
      <c r="W504" s="162"/>
      <c r="X504" s="163"/>
      <c r="Y504" s="154"/>
      <c r="Z504" s="147"/>
      <c r="AA504" s="147"/>
      <c r="AB504" s="148"/>
      <c r="AC504" s="732"/>
      <c r="AD504" s="732"/>
      <c r="AE504" s="732"/>
      <c r="AF504" s="732"/>
      <c r="AI504" s="109" t="str">
        <f>"2A:ninti_senmoncare_code:" &amp; IF(I504="■",1,IF(O504="■",3,IF(L504="■",2,0)))</f>
        <v>2A:ninti_senmoncare_code:0</v>
      </c>
    </row>
    <row r="505" spans="1:36" s="109" customFormat="1" ht="18.75" customHeight="1" x14ac:dyDescent="0.2">
      <c r="A505" s="260"/>
      <c r="B505" s="261"/>
      <c r="C505" s="140"/>
      <c r="D505" s="141"/>
      <c r="E505" s="143"/>
      <c r="F505" s="141"/>
      <c r="G505" s="128"/>
      <c r="H505" s="242" t="s">
        <v>221</v>
      </c>
      <c r="I505" s="156" t="s">
        <v>383</v>
      </c>
      <c r="J505" s="157" t="s">
        <v>250</v>
      </c>
      <c r="K505" s="157"/>
      <c r="L505" s="160" t="s">
        <v>383</v>
      </c>
      <c r="M505" s="157" t="s">
        <v>251</v>
      </c>
      <c r="N505" s="157"/>
      <c r="O505" s="160" t="s">
        <v>383</v>
      </c>
      <c r="P505" s="157" t="s">
        <v>252</v>
      </c>
      <c r="Q505" s="162"/>
      <c r="R505" s="162"/>
      <c r="S505" s="162"/>
      <c r="T505" s="162"/>
      <c r="U505" s="162"/>
      <c r="V505" s="162"/>
      <c r="W505" s="162"/>
      <c r="X505" s="163"/>
      <c r="Y505" s="154"/>
      <c r="Z505" s="147"/>
      <c r="AA505" s="147"/>
      <c r="AB505" s="148"/>
      <c r="AC505" s="732"/>
      <c r="AD505" s="732"/>
      <c r="AE505" s="732"/>
      <c r="AF505" s="732"/>
      <c r="AI505" s="109" t="str">
        <f>"2A:field164:" &amp; IF(I505="■",1,IF(L505="■",2,IF(O505="■",3,0)))</f>
        <v>2A:field164:0</v>
      </c>
    </row>
    <row r="506" spans="1:36" s="109" customFormat="1" ht="18.75" customHeight="1" x14ac:dyDescent="0.2">
      <c r="A506" s="260"/>
      <c r="B506" s="261"/>
      <c r="C506" s="140"/>
      <c r="D506" s="141"/>
      <c r="E506" s="143"/>
      <c r="F506" s="141"/>
      <c r="G506" s="128"/>
      <c r="H506" s="250" t="s">
        <v>442</v>
      </c>
      <c r="I506" s="156" t="s">
        <v>383</v>
      </c>
      <c r="J506" s="157" t="s">
        <v>250</v>
      </c>
      <c r="K506" s="157"/>
      <c r="L506" s="160" t="s">
        <v>383</v>
      </c>
      <c r="M506" s="157" t="s">
        <v>251</v>
      </c>
      <c r="N506" s="157"/>
      <c r="O506" s="160" t="s">
        <v>383</v>
      </c>
      <c r="P506" s="157" t="s">
        <v>252</v>
      </c>
      <c r="Q506" s="162"/>
      <c r="R506" s="162"/>
      <c r="S506" s="162"/>
      <c r="T506" s="162"/>
      <c r="U506" s="251"/>
      <c r="V506" s="251"/>
      <c r="W506" s="251"/>
      <c r="X506" s="252"/>
      <c r="Y506" s="154"/>
      <c r="Z506" s="147"/>
      <c r="AA506" s="147"/>
      <c r="AB506" s="148"/>
      <c r="AC506" s="732"/>
      <c r="AD506" s="732"/>
      <c r="AE506" s="732"/>
      <c r="AF506" s="732"/>
      <c r="AI506" s="109" t="str">
        <f>"2A:field225:" &amp; IF(I506="■",1,IF(L506="■",2,IF(O506="■",3,0)))</f>
        <v>2A:field225:0</v>
      </c>
    </row>
    <row r="507" spans="1:36" s="109" customFormat="1" ht="18.75" customHeight="1" x14ac:dyDescent="0.2">
      <c r="A507" s="260"/>
      <c r="B507" s="261"/>
      <c r="C507" s="140"/>
      <c r="D507" s="141"/>
      <c r="E507" s="143"/>
      <c r="F507" s="141"/>
      <c r="G507" s="128"/>
      <c r="H507" s="164" t="s">
        <v>118</v>
      </c>
      <c r="I507" s="156" t="s">
        <v>383</v>
      </c>
      <c r="J507" s="157" t="s">
        <v>250</v>
      </c>
      <c r="K507" s="157"/>
      <c r="L507" s="160" t="s">
        <v>383</v>
      </c>
      <c r="M507" s="157" t="s">
        <v>258</v>
      </c>
      <c r="N507" s="157"/>
      <c r="O507" s="160" t="s">
        <v>383</v>
      </c>
      <c r="P507" s="157" t="s">
        <v>259</v>
      </c>
      <c r="Q507" s="207"/>
      <c r="R507" s="160" t="s">
        <v>383</v>
      </c>
      <c r="S507" s="157" t="s">
        <v>283</v>
      </c>
      <c r="T507" s="207"/>
      <c r="U507" s="207"/>
      <c r="V507" s="207"/>
      <c r="W507" s="207"/>
      <c r="X507" s="208"/>
      <c r="Y507" s="154"/>
      <c r="Z507" s="147"/>
      <c r="AA507" s="147"/>
      <c r="AB507" s="148"/>
      <c r="AC507" s="732"/>
      <c r="AD507" s="732"/>
      <c r="AE507" s="732"/>
      <c r="AF507" s="732"/>
      <c r="AI507" s="109" t="str">
        <f>"2A:serteikyo_kyoka_code:" &amp; IF(I507="■",1,IF(L507="■",6,IF(O507="■",5,IF(R507="■",7,0))))</f>
        <v>2A:serteikyo_kyoka_code:0</v>
      </c>
    </row>
    <row r="508" spans="1:36" s="109" customFormat="1" ht="18.75" customHeight="1" x14ac:dyDescent="0.2">
      <c r="A508" s="139"/>
      <c r="B508" s="670"/>
      <c r="C508" s="140"/>
      <c r="D508" s="141"/>
      <c r="E508" s="143"/>
      <c r="F508" s="141"/>
      <c r="G508" s="128"/>
      <c r="H508" s="713" t="s">
        <v>801</v>
      </c>
      <c r="I508" s="745" t="s">
        <v>383</v>
      </c>
      <c r="J508" s="746" t="s">
        <v>250</v>
      </c>
      <c r="K508" s="746"/>
      <c r="L508" s="747" t="s">
        <v>383</v>
      </c>
      <c r="M508" s="746" t="s">
        <v>267</v>
      </c>
      <c r="N508" s="746"/>
      <c r="O508" s="375"/>
      <c r="P508" s="375"/>
      <c r="Q508" s="375"/>
      <c r="R508" s="375"/>
      <c r="S508" s="375"/>
      <c r="T508" s="375"/>
      <c r="U508" s="375"/>
      <c r="V508" s="375"/>
      <c r="W508" s="375"/>
      <c r="X508" s="441"/>
      <c r="Y508" s="154"/>
      <c r="Z508" s="147"/>
      <c r="AA508" s="147"/>
      <c r="AB508" s="148"/>
      <c r="AC508" s="732"/>
      <c r="AD508" s="732"/>
      <c r="AE508" s="732"/>
      <c r="AF508" s="732"/>
      <c r="AI508" s="109" t="str">
        <f>"23:field221:" &amp; IF(I508="■",1,IF(L508="■",2,0))</f>
        <v>23:field221:0</v>
      </c>
    </row>
    <row r="509" spans="1:36" s="109" customFormat="1" ht="18.75" customHeight="1" x14ac:dyDescent="0.2">
      <c r="A509" s="139"/>
      <c r="B509" s="670"/>
      <c r="C509" s="140"/>
      <c r="D509" s="141"/>
      <c r="E509" s="143"/>
      <c r="F509" s="141"/>
      <c r="G509" s="128"/>
      <c r="H509" s="737"/>
      <c r="I509" s="745"/>
      <c r="J509" s="746"/>
      <c r="K509" s="746"/>
      <c r="L509" s="747"/>
      <c r="M509" s="746"/>
      <c r="N509" s="746"/>
      <c r="O509" s="381"/>
      <c r="P509" s="381"/>
      <c r="Q509" s="381"/>
      <c r="R509" s="381"/>
      <c r="S509" s="381"/>
      <c r="T509" s="381"/>
      <c r="U509" s="381"/>
      <c r="V509" s="381"/>
      <c r="W509" s="381"/>
      <c r="X509" s="442"/>
      <c r="Y509" s="154"/>
      <c r="Z509" s="147"/>
      <c r="AA509" s="147"/>
      <c r="AB509" s="148"/>
      <c r="AC509" s="732"/>
      <c r="AD509" s="732"/>
      <c r="AE509" s="732"/>
      <c r="AF509" s="732"/>
    </row>
    <row r="510" spans="1:36" s="621" customFormat="1" ht="18.75" customHeight="1" x14ac:dyDescent="0.2">
      <c r="A510" s="139"/>
      <c r="B510" s="670"/>
      <c r="C510" s="140"/>
      <c r="D510" s="141"/>
      <c r="E510" s="143"/>
      <c r="F510" s="142"/>
      <c r="G510" s="128"/>
      <c r="H510" s="713" t="s">
        <v>790</v>
      </c>
      <c r="I510" s="642" t="s">
        <v>383</v>
      </c>
      <c r="J510" s="616" t="s">
        <v>627</v>
      </c>
      <c r="K510" s="616"/>
      <c r="L510" s="615"/>
      <c r="M510" s="644" t="s">
        <v>383</v>
      </c>
      <c r="N510" s="616" t="s">
        <v>791</v>
      </c>
      <c r="O510" s="617"/>
      <c r="P510" s="615"/>
      <c r="Q510" s="644" t="s">
        <v>383</v>
      </c>
      <c r="R510" s="618" t="s">
        <v>802</v>
      </c>
      <c r="S510" s="615"/>
      <c r="T510" s="615"/>
      <c r="U510" s="615"/>
      <c r="V510" s="618"/>
      <c r="W510" s="619"/>
      <c r="X510" s="620"/>
      <c r="Y510" s="154"/>
      <c r="Z510" s="147"/>
      <c r="AA510" s="147"/>
      <c r="AB510" s="148"/>
      <c r="AC510" s="732"/>
      <c r="AD510" s="732"/>
      <c r="AE510" s="732"/>
      <c r="AF510" s="732"/>
    </row>
    <row r="511" spans="1:36" s="621" customFormat="1" ht="18.75" customHeight="1" x14ac:dyDescent="0.2">
      <c r="A511" s="139"/>
      <c r="B511" s="670"/>
      <c r="C511" s="140"/>
      <c r="D511" s="141"/>
      <c r="E511" s="143"/>
      <c r="F511" s="142"/>
      <c r="G511" s="128"/>
      <c r="H511" s="714"/>
      <c r="I511" s="643" t="s">
        <v>383</v>
      </c>
      <c r="J511" s="623" t="s">
        <v>803</v>
      </c>
      <c r="K511" s="623"/>
      <c r="L511" s="622"/>
      <c r="M511" s="211" t="s">
        <v>383</v>
      </c>
      <c r="N511" s="623" t="s">
        <v>804</v>
      </c>
      <c r="O511" s="624"/>
      <c r="P511" s="622"/>
      <c r="Q511" s="211" t="s">
        <v>383</v>
      </c>
      <c r="R511" s="623" t="s">
        <v>795</v>
      </c>
      <c r="S511" s="622"/>
      <c r="T511" s="623"/>
      <c r="U511" s="211" t="s">
        <v>383</v>
      </c>
      <c r="V511" s="623" t="s">
        <v>796</v>
      </c>
      <c r="W511" s="625"/>
      <c r="X511" s="626"/>
      <c r="Y511" s="154"/>
      <c r="Z511" s="147"/>
      <c r="AA511" s="147"/>
      <c r="AB511" s="148"/>
      <c r="AC511" s="732"/>
      <c r="AD511" s="732"/>
      <c r="AE511" s="732"/>
      <c r="AF511" s="732"/>
    </row>
    <row r="512" spans="1:36" s="109" customFormat="1" ht="18.75" customHeight="1" x14ac:dyDescent="0.2">
      <c r="A512" s="258"/>
      <c r="B512" s="259"/>
      <c r="C512" s="130"/>
      <c r="D512" s="131"/>
      <c r="E512" s="121"/>
      <c r="F512" s="132"/>
      <c r="G512" s="121"/>
      <c r="H512" s="740" t="s">
        <v>97</v>
      </c>
      <c r="I512" s="412" t="s">
        <v>383</v>
      </c>
      <c r="J512" s="413" t="s">
        <v>300</v>
      </c>
      <c r="K512" s="414"/>
      <c r="L512" s="415"/>
      <c r="M512" s="416" t="s">
        <v>383</v>
      </c>
      <c r="N512" s="413" t="s">
        <v>328</v>
      </c>
      <c r="O512" s="417"/>
      <c r="P512" s="417"/>
      <c r="Q512" s="416" t="s">
        <v>383</v>
      </c>
      <c r="R512" s="413" t="s">
        <v>329</v>
      </c>
      <c r="S512" s="417"/>
      <c r="T512" s="417"/>
      <c r="U512" s="416" t="s">
        <v>383</v>
      </c>
      <c r="V512" s="413" t="s">
        <v>330</v>
      </c>
      <c r="W512" s="417"/>
      <c r="X512" s="418"/>
      <c r="Y512" s="134" t="s">
        <v>383</v>
      </c>
      <c r="Z512" s="119" t="s">
        <v>249</v>
      </c>
      <c r="AA512" s="119"/>
      <c r="AB512" s="137"/>
      <c r="AC512" s="730"/>
      <c r="AD512" s="730"/>
      <c r="AE512" s="730"/>
      <c r="AF512" s="730"/>
      <c r="AG512" s="109" t="str">
        <f>"ser_code = '" &amp; IF(A524="■","2A","") &amp; "'"</f>
        <v>ser_code = ''</v>
      </c>
      <c r="AH512" s="109" t="str">
        <f>"2A:jininkbn_code:"&amp;IF(F524="■",1,IF(F525="■",2,0))</f>
        <v>2A:jininkbn_code:0</v>
      </c>
      <c r="AI512" s="109" t="str">
        <f>"2A:yakan_kinmu_code:" &amp; IF(I512="■",1,IF(M512="■",2,IF(Q512="■",3,IF(U512="■",7,IF(I513="■",5,IF(M513="■",6,0))))))</f>
        <v>2A:yakan_kinmu_code:0</v>
      </c>
      <c r="AJ512" s="109" t="str">
        <f>"2A:field203:" &amp; IF(Y512="■",1,IF(Y513="■",2,0))</f>
        <v>2A:field203:0</v>
      </c>
    </row>
    <row r="513" spans="1:35" s="109" customFormat="1" ht="18.75" customHeight="1" x14ac:dyDescent="0.2">
      <c r="A513" s="260"/>
      <c r="B513" s="261"/>
      <c r="C513" s="140"/>
      <c r="D513" s="141"/>
      <c r="E513" s="128"/>
      <c r="F513" s="142"/>
      <c r="G513" s="128"/>
      <c r="H513" s="739"/>
      <c r="I513" s="380" t="s">
        <v>383</v>
      </c>
      <c r="J513" s="381" t="s">
        <v>331</v>
      </c>
      <c r="K513" s="419"/>
      <c r="L513" s="382"/>
      <c r="M513" s="383" t="s">
        <v>383</v>
      </c>
      <c r="N513" s="381" t="s">
        <v>301</v>
      </c>
      <c r="O513" s="384"/>
      <c r="P513" s="384"/>
      <c r="Q513" s="384"/>
      <c r="R513" s="384"/>
      <c r="S513" s="384"/>
      <c r="T513" s="384"/>
      <c r="U513" s="384"/>
      <c r="V513" s="384"/>
      <c r="W513" s="384"/>
      <c r="X513" s="385"/>
      <c r="Y513" s="118" t="s">
        <v>383</v>
      </c>
      <c r="Z513" s="126" t="s">
        <v>255</v>
      </c>
      <c r="AA513" s="147"/>
      <c r="AB513" s="148"/>
      <c r="AC513" s="731"/>
      <c r="AD513" s="731"/>
      <c r="AE513" s="731"/>
      <c r="AF513" s="731"/>
      <c r="AG513" s="109" t="str">
        <f>"2A:sisetukbn_code:"&amp;IF(D524="■","4",0)</f>
        <v>2A:sisetukbn_code:0</v>
      </c>
    </row>
    <row r="514" spans="1:35" s="109" customFormat="1" ht="18.75" customHeight="1" x14ac:dyDescent="0.2">
      <c r="A514" s="260"/>
      <c r="B514" s="261"/>
      <c r="C514" s="140"/>
      <c r="D514" s="141"/>
      <c r="E514" s="128"/>
      <c r="F514" s="142"/>
      <c r="G514" s="128"/>
      <c r="H514" s="738" t="s">
        <v>93</v>
      </c>
      <c r="I514" s="374" t="s">
        <v>383</v>
      </c>
      <c r="J514" s="375" t="s">
        <v>250</v>
      </c>
      <c r="K514" s="375"/>
      <c r="L514" s="376"/>
      <c r="M514" s="377" t="s">
        <v>383</v>
      </c>
      <c r="N514" s="375" t="s">
        <v>289</v>
      </c>
      <c r="O514" s="375"/>
      <c r="P514" s="376"/>
      <c r="Q514" s="377" t="s">
        <v>383</v>
      </c>
      <c r="R514" s="378" t="s">
        <v>372</v>
      </c>
      <c r="S514" s="378"/>
      <c r="T514" s="378"/>
      <c r="U514" s="410"/>
      <c r="V514" s="376"/>
      <c r="W514" s="378"/>
      <c r="X514" s="411"/>
      <c r="Y514" s="154"/>
      <c r="Z514" s="147"/>
      <c r="AA514" s="147"/>
      <c r="AB514" s="148"/>
      <c r="AC514" s="732"/>
      <c r="AD514" s="732"/>
      <c r="AE514" s="732"/>
      <c r="AF514" s="732"/>
      <c r="AI514" s="109" t="str">
        <f>"2A:"&amp;IF(AND(I514="□",M514="□",Q514="□",I515="□",M515="□"),"ketu_doctor_code:0",IF(I514="■","ketu_doctor_code:1:field197:1:ketu_kangos_code:1:ketu_kshoku_code:1",IF(M514="■","ketu_doctor_code:2","ketu_doctor_code:1")
&amp;IF(Q514="■",":field197:2",":field197:1")
&amp;IF(I515="■",":ketu_kangos_code:2",":ketu_kangos_code:1")
&amp;IF(M515="■",":ketu_kshoku_code:2",":ketu_kshoku_code:1")))</f>
        <v>2A:ketu_doctor_code:0</v>
      </c>
    </row>
    <row r="515" spans="1:35" s="109" customFormat="1" ht="18.75" customHeight="1" x14ac:dyDescent="0.2">
      <c r="A515" s="260"/>
      <c r="B515" s="261"/>
      <c r="C515" s="140"/>
      <c r="D515" s="141"/>
      <c r="E515" s="128"/>
      <c r="F515" s="142"/>
      <c r="G515" s="128"/>
      <c r="H515" s="739"/>
      <c r="I515" s="380" t="s">
        <v>383</v>
      </c>
      <c r="J515" s="384" t="s">
        <v>373</v>
      </c>
      <c r="K515" s="384"/>
      <c r="L515" s="384"/>
      <c r="M515" s="383" t="s">
        <v>383</v>
      </c>
      <c r="N515" s="384" t="s">
        <v>374</v>
      </c>
      <c r="O515" s="382"/>
      <c r="P515" s="384"/>
      <c r="Q515" s="384"/>
      <c r="R515" s="382"/>
      <c r="S515" s="384"/>
      <c r="T515" s="384"/>
      <c r="U515" s="436"/>
      <c r="V515" s="382"/>
      <c r="W515" s="384"/>
      <c r="X515" s="437"/>
      <c r="Y515" s="154"/>
      <c r="Z515" s="147"/>
      <c r="AA515" s="147"/>
      <c r="AB515" s="148"/>
      <c r="AC515" s="732"/>
      <c r="AD515" s="732"/>
      <c r="AE515" s="732"/>
      <c r="AF515" s="732"/>
    </row>
    <row r="516" spans="1:35" s="109" customFormat="1" ht="18.75" customHeight="1" x14ac:dyDescent="0.2">
      <c r="A516" s="260"/>
      <c r="B516" s="261"/>
      <c r="C516" s="140"/>
      <c r="D516" s="141"/>
      <c r="E516" s="128"/>
      <c r="F516" s="142"/>
      <c r="G516" s="128"/>
      <c r="H516" s="364" t="s">
        <v>98</v>
      </c>
      <c r="I516" s="349" t="s">
        <v>383</v>
      </c>
      <c r="J516" s="350" t="s">
        <v>265</v>
      </c>
      <c r="K516" s="351"/>
      <c r="L516" s="352"/>
      <c r="M516" s="353" t="s">
        <v>383</v>
      </c>
      <c r="N516" s="350" t="s">
        <v>266</v>
      </c>
      <c r="O516" s="355"/>
      <c r="P516" s="355"/>
      <c r="Q516" s="355"/>
      <c r="R516" s="355"/>
      <c r="S516" s="355"/>
      <c r="T516" s="355"/>
      <c r="U516" s="355"/>
      <c r="V516" s="355"/>
      <c r="W516" s="355"/>
      <c r="X516" s="356"/>
      <c r="Y516" s="154"/>
      <c r="Z516" s="147"/>
      <c r="AA516" s="147"/>
      <c r="AB516" s="148"/>
      <c r="AC516" s="732"/>
      <c r="AD516" s="732"/>
      <c r="AE516" s="732"/>
      <c r="AF516" s="732"/>
      <c r="AI516" s="109" t="str">
        <f>"2A:unitcare_code:" &amp; IF(I516="■",1,IF(M516="■",2,0))</f>
        <v>2A:unitcare_code:0</v>
      </c>
    </row>
    <row r="517" spans="1:35" s="109" customFormat="1" ht="18.75" customHeight="1" x14ac:dyDescent="0.2">
      <c r="A517" s="139"/>
      <c r="B517" s="123"/>
      <c r="C517" s="248"/>
      <c r="D517" s="249"/>
      <c r="E517" s="128"/>
      <c r="F517" s="142"/>
      <c r="G517" s="143"/>
      <c r="H517" s="364" t="s">
        <v>107</v>
      </c>
      <c r="I517" s="349" t="s">
        <v>383</v>
      </c>
      <c r="J517" s="350" t="s">
        <v>395</v>
      </c>
      <c r="K517" s="351"/>
      <c r="L517" s="352"/>
      <c r="M517" s="353" t="s">
        <v>383</v>
      </c>
      <c r="N517" s="350" t="s">
        <v>396</v>
      </c>
      <c r="O517" s="351"/>
      <c r="P517" s="351"/>
      <c r="Q517" s="351"/>
      <c r="R517" s="351"/>
      <c r="S517" s="351"/>
      <c r="T517" s="351"/>
      <c r="U517" s="351"/>
      <c r="V517" s="351"/>
      <c r="W517" s="351"/>
      <c r="X517" s="365"/>
      <c r="Y517" s="154"/>
      <c r="Z517" s="147"/>
      <c r="AA517" s="147"/>
      <c r="AB517" s="148"/>
      <c r="AC517" s="732"/>
      <c r="AD517" s="732"/>
      <c r="AE517" s="732"/>
      <c r="AF517" s="732"/>
      <c r="AI517" s="109" t="str">
        <f>"2A:sintaikousoku_code:" &amp; IF(I517="■",1,IF(M517="■",2,0))</f>
        <v>2A:sintaikousoku_code:0</v>
      </c>
    </row>
    <row r="518" spans="1:35" s="109" customFormat="1" ht="19.5" customHeight="1" x14ac:dyDescent="0.2">
      <c r="A518" s="139"/>
      <c r="B518" s="123"/>
      <c r="C518" s="140"/>
      <c r="D518" s="141"/>
      <c r="E518" s="128"/>
      <c r="F518" s="142"/>
      <c r="G518" s="143"/>
      <c r="H518" s="155" t="s">
        <v>430</v>
      </c>
      <c r="I518" s="156" t="s">
        <v>383</v>
      </c>
      <c r="J518" s="157" t="s">
        <v>395</v>
      </c>
      <c r="K518" s="158"/>
      <c r="L518" s="159"/>
      <c r="M518" s="160" t="s">
        <v>383</v>
      </c>
      <c r="N518" s="157" t="s">
        <v>431</v>
      </c>
      <c r="O518" s="161"/>
      <c r="P518" s="157"/>
      <c r="Q518" s="162"/>
      <c r="R518" s="162"/>
      <c r="S518" s="162"/>
      <c r="T518" s="162"/>
      <c r="U518" s="162"/>
      <c r="V518" s="162"/>
      <c r="W518" s="162"/>
      <c r="X518" s="163"/>
      <c r="Y518" s="147"/>
      <c r="Z518" s="147"/>
      <c r="AA518" s="147"/>
      <c r="AB518" s="148"/>
      <c r="AC518" s="732"/>
      <c r="AD518" s="732"/>
      <c r="AE518" s="732"/>
      <c r="AF518" s="732"/>
      <c r="AI518" s="109" t="str">
        <f>"2A:field223:" &amp; IF(I518="■",1,IF(M518="■",2,0))</f>
        <v>2A:field223:0</v>
      </c>
    </row>
    <row r="519" spans="1:35" s="109" customFormat="1" ht="19.5" customHeight="1" x14ac:dyDescent="0.2">
      <c r="A519" s="139"/>
      <c r="B519" s="123"/>
      <c r="C519" s="140"/>
      <c r="D519" s="141"/>
      <c r="E519" s="128"/>
      <c r="F519" s="142"/>
      <c r="G519" s="143"/>
      <c r="H519" s="155" t="s">
        <v>448</v>
      </c>
      <c r="I519" s="156" t="s">
        <v>383</v>
      </c>
      <c r="J519" s="157" t="s">
        <v>395</v>
      </c>
      <c r="K519" s="158"/>
      <c r="L519" s="159"/>
      <c r="M519" s="160" t="s">
        <v>383</v>
      </c>
      <c r="N519" s="157" t="s">
        <v>431</v>
      </c>
      <c r="O519" s="161"/>
      <c r="P519" s="157"/>
      <c r="Q519" s="162"/>
      <c r="R519" s="162"/>
      <c r="S519" s="162"/>
      <c r="T519" s="162"/>
      <c r="U519" s="162"/>
      <c r="V519" s="162"/>
      <c r="W519" s="162"/>
      <c r="X519" s="163"/>
      <c r="Y519" s="147"/>
      <c r="Z519" s="147"/>
      <c r="AA519" s="147"/>
      <c r="AB519" s="148"/>
      <c r="AC519" s="732"/>
      <c r="AD519" s="732"/>
      <c r="AE519" s="732"/>
      <c r="AF519" s="732"/>
      <c r="AI519" s="109" t="str">
        <f>"2A:field232:" &amp; IF(I519="■",1,IF(M519="■",2,0))</f>
        <v>2A:field232:0</v>
      </c>
    </row>
    <row r="520" spans="1:35" s="109" customFormat="1" ht="18.75" customHeight="1" x14ac:dyDescent="0.2">
      <c r="A520" s="260"/>
      <c r="B520" s="261"/>
      <c r="C520" s="140"/>
      <c r="D520" s="141"/>
      <c r="E520" s="128"/>
      <c r="F520" s="142"/>
      <c r="G520" s="128"/>
      <c r="H520" s="242" t="s">
        <v>164</v>
      </c>
      <c r="I520" s="156" t="s">
        <v>383</v>
      </c>
      <c r="J520" s="157" t="s">
        <v>300</v>
      </c>
      <c r="K520" s="158"/>
      <c r="L520" s="159"/>
      <c r="M520" s="160" t="s">
        <v>383</v>
      </c>
      <c r="N520" s="157" t="s">
        <v>332</v>
      </c>
      <c r="O520" s="162"/>
      <c r="P520" s="162"/>
      <c r="Q520" s="162"/>
      <c r="R520" s="162"/>
      <c r="S520" s="162"/>
      <c r="T520" s="162"/>
      <c r="U520" s="162"/>
      <c r="V520" s="162"/>
      <c r="W520" s="162"/>
      <c r="X520" s="163"/>
      <c r="Y520" s="154"/>
      <c r="Z520" s="147"/>
      <c r="AA520" s="147"/>
      <c r="AB520" s="148"/>
      <c r="AC520" s="732"/>
      <c r="AD520" s="732"/>
      <c r="AE520" s="732"/>
      <c r="AF520" s="732"/>
      <c r="AI520" s="109" t="str">
        <f>"2A:field190:" &amp; IF(I520="■",1,IF(M520="■",2,0))</f>
        <v>2A:field190:0</v>
      </c>
    </row>
    <row r="521" spans="1:35" s="109" customFormat="1" ht="18.75" customHeight="1" x14ac:dyDescent="0.2">
      <c r="A521" s="260"/>
      <c r="B521" s="261"/>
      <c r="C521" s="140"/>
      <c r="D521" s="141"/>
      <c r="E521" s="128"/>
      <c r="F521" s="142"/>
      <c r="G521" s="128"/>
      <c r="H521" s="242" t="s">
        <v>165</v>
      </c>
      <c r="I521" s="156" t="s">
        <v>383</v>
      </c>
      <c r="J521" s="157" t="s">
        <v>300</v>
      </c>
      <c r="K521" s="158"/>
      <c r="L521" s="159"/>
      <c r="M521" s="160" t="s">
        <v>383</v>
      </c>
      <c r="N521" s="157" t="s">
        <v>332</v>
      </c>
      <c r="O521" s="162"/>
      <c r="P521" s="162"/>
      <c r="Q521" s="162"/>
      <c r="R521" s="162"/>
      <c r="S521" s="162"/>
      <c r="T521" s="162"/>
      <c r="U521" s="162"/>
      <c r="V521" s="162"/>
      <c r="W521" s="162"/>
      <c r="X521" s="163"/>
      <c r="Y521" s="154"/>
      <c r="Z521" s="147"/>
      <c r="AA521" s="147"/>
      <c r="AB521" s="148"/>
      <c r="AC521" s="732"/>
      <c r="AD521" s="732"/>
      <c r="AE521" s="732"/>
      <c r="AF521" s="732"/>
      <c r="AI521" s="109" t="str">
        <f>"2A:field191:" &amp; IF(I521="■",1,IF(M521="■",2,0))</f>
        <v>2A:field191:0</v>
      </c>
    </row>
    <row r="522" spans="1:35" s="109" customFormat="1" ht="18.75" customHeight="1" x14ac:dyDescent="0.2">
      <c r="A522" s="260"/>
      <c r="B522" s="261"/>
      <c r="C522" s="140"/>
      <c r="D522" s="141"/>
      <c r="E522" s="128"/>
      <c r="F522" s="142"/>
      <c r="G522" s="128"/>
      <c r="H522" s="242" t="s">
        <v>110</v>
      </c>
      <c r="I522" s="156" t="s">
        <v>383</v>
      </c>
      <c r="J522" s="157" t="s">
        <v>250</v>
      </c>
      <c r="K522" s="158"/>
      <c r="L522" s="160" t="s">
        <v>383</v>
      </c>
      <c r="M522" s="157" t="s">
        <v>267</v>
      </c>
      <c r="N522" s="162"/>
      <c r="O522" s="162"/>
      <c r="P522" s="162"/>
      <c r="Q522" s="162"/>
      <c r="R522" s="162"/>
      <c r="S522" s="162"/>
      <c r="T522" s="162"/>
      <c r="U522" s="162"/>
      <c r="V522" s="162"/>
      <c r="W522" s="162"/>
      <c r="X522" s="163"/>
      <c r="Y522" s="154"/>
      <c r="Z522" s="147"/>
      <c r="AA522" s="147"/>
      <c r="AB522" s="148"/>
      <c r="AC522" s="732"/>
      <c r="AD522" s="732"/>
      <c r="AE522" s="732"/>
      <c r="AF522" s="732"/>
      <c r="AI522" s="109" t="str">
        <f>"2A:jyakuninti_uke_code:" &amp; IF(I522="■",1,IF(L522="■",2,0))</f>
        <v>2A:jyakuninti_uke_code:0</v>
      </c>
    </row>
    <row r="523" spans="1:35" s="109" customFormat="1" ht="18.75" customHeight="1" x14ac:dyDescent="0.2">
      <c r="A523" s="260"/>
      <c r="B523" s="261"/>
      <c r="C523" s="140"/>
      <c r="D523" s="141"/>
      <c r="E523" s="128"/>
      <c r="F523" s="142"/>
      <c r="G523" s="128"/>
      <c r="H523" s="242" t="s">
        <v>95</v>
      </c>
      <c r="I523" s="156" t="s">
        <v>383</v>
      </c>
      <c r="J523" s="157" t="s">
        <v>265</v>
      </c>
      <c r="K523" s="158"/>
      <c r="L523" s="159"/>
      <c r="M523" s="160" t="s">
        <v>383</v>
      </c>
      <c r="N523" s="157" t="s">
        <v>266</v>
      </c>
      <c r="O523" s="162"/>
      <c r="P523" s="162"/>
      <c r="Q523" s="162"/>
      <c r="R523" s="162"/>
      <c r="S523" s="162"/>
      <c r="T523" s="162"/>
      <c r="U523" s="162"/>
      <c r="V523" s="162"/>
      <c r="W523" s="162"/>
      <c r="X523" s="163"/>
      <c r="Y523" s="154"/>
      <c r="Z523" s="147"/>
      <c r="AA523" s="147"/>
      <c r="AB523" s="148"/>
      <c r="AC523" s="732"/>
      <c r="AD523" s="732"/>
      <c r="AE523" s="732"/>
      <c r="AF523" s="732"/>
      <c r="AI523" s="109" t="str">
        <f>"2A:sougei_code:" &amp; IF(I523="■",1,IF(M523="■",2,0))</f>
        <v>2A:sougei_code:0</v>
      </c>
    </row>
    <row r="524" spans="1:35" s="109" customFormat="1" ht="19.5" customHeight="1" x14ac:dyDescent="0.2">
      <c r="A524" s="125" t="s">
        <v>383</v>
      </c>
      <c r="B524" s="261" t="s">
        <v>220</v>
      </c>
      <c r="C524" s="140" t="s">
        <v>193</v>
      </c>
      <c r="D524" s="118" t="s">
        <v>383</v>
      </c>
      <c r="E524" s="128" t="s">
        <v>172</v>
      </c>
      <c r="F524" s="118" t="s">
        <v>383</v>
      </c>
      <c r="G524" s="128" t="s">
        <v>368</v>
      </c>
      <c r="H524" s="155" t="s">
        <v>433</v>
      </c>
      <c r="I524" s="156" t="s">
        <v>383</v>
      </c>
      <c r="J524" s="157" t="s">
        <v>250</v>
      </c>
      <c r="K524" s="157"/>
      <c r="L524" s="160" t="s">
        <v>383</v>
      </c>
      <c r="M524" s="157" t="s">
        <v>267</v>
      </c>
      <c r="N524" s="157"/>
      <c r="O524" s="162"/>
      <c r="P524" s="157"/>
      <c r="Q524" s="162"/>
      <c r="R524" s="162"/>
      <c r="S524" s="162"/>
      <c r="T524" s="162"/>
      <c r="U524" s="162"/>
      <c r="V524" s="162"/>
      <c r="W524" s="162"/>
      <c r="X524" s="163"/>
      <c r="Y524" s="147"/>
      <c r="Z524" s="147"/>
      <c r="AA524" s="147"/>
      <c r="AB524" s="148"/>
      <c r="AC524" s="732"/>
      <c r="AD524" s="732"/>
      <c r="AE524" s="732"/>
      <c r="AF524" s="732"/>
      <c r="AI524" s="109" t="str">
        <f>"2A:field224:" &amp; IF(I524="■",1,IF(L524="■",2,0))</f>
        <v>2A:field224:0</v>
      </c>
    </row>
    <row r="525" spans="1:35" s="109" customFormat="1" ht="18.75" customHeight="1" x14ac:dyDescent="0.2">
      <c r="A525" s="260"/>
      <c r="B525" s="261"/>
      <c r="C525" s="140"/>
      <c r="D525" s="141"/>
      <c r="E525" s="128"/>
      <c r="F525" s="118" t="s">
        <v>383</v>
      </c>
      <c r="G525" s="128" t="s">
        <v>369</v>
      </c>
      <c r="H525" s="242" t="s">
        <v>112</v>
      </c>
      <c r="I525" s="156" t="s">
        <v>383</v>
      </c>
      <c r="J525" s="157" t="s">
        <v>250</v>
      </c>
      <c r="K525" s="158"/>
      <c r="L525" s="160" t="s">
        <v>383</v>
      </c>
      <c r="M525" s="157" t="s">
        <v>267</v>
      </c>
      <c r="N525" s="162"/>
      <c r="O525" s="162"/>
      <c r="P525" s="162"/>
      <c r="Q525" s="162"/>
      <c r="R525" s="162"/>
      <c r="S525" s="162"/>
      <c r="T525" s="162"/>
      <c r="U525" s="162"/>
      <c r="V525" s="162"/>
      <c r="W525" s="162"/>
      <c r="X525" s="163"/>
      <c r="Y525" s="154"/>
      <c r="Z525" s="147"/>
      <c r="AA525" s="147"/>
      <c r="AB525" s="148"/>
      <c r="AC525" s="732"/>
      <c r="AD525" s="732"/>
      <c r="AE525" s="732"/>
      <c r="AF525" s="732"/>
      <c r="AI525" s="109" t="str">
        <f>"2A:ryouyoushoku_code:" &amp; IF(I525="■",1,IF(L525="■",2,0))</f>
        <v>2A:ryouyoushoku_code:0</v>
      </c>
    </row>
    <row r="526" spans="1:35" s="109" customFormat="1" ht="18.75" customHeight="1" x14ac:dyDescent="0.2">
      <c r="A526" s="260"/>
      <c r="B526" s="261"/>
      <c r="C526" s="140"/>
      <c r="D526" s="141"/>
      <c r="E526" s="128"/>
      <c r="F526" s="141"/>
      <c r="G526" s="128"/>
      <c r="H526" s="242" t="s">
        <v>116</v>
      </c>
      <c r="I526" s="156" t="s">
        <v>383</v>
      </c>
      <c r="J526" s="157" t="s">
        <v>250</v>
      </c>
      <c r="K526" s="157"/>
      <c r="L526" s="160" t="s">
        <v>383</v>
      </c>
      <c r="M526" s="157" t="s">
        <v>251</v>
      </c>
      <c r="N526" s="157"/>
      <c r="O526" s="160" t="s">
        <v>383</v>
      </c>
      <c r="P526" s="157" t="s">
        <v>252</v>
      </c>
      <c r="Q526" s="162"/>
      <c r="R526" s="162"/>
      <c r="S526" s="162"/>
      <c r="T526" s="162"/>
      <c r="U526" s="162"/>
      <c r="V526" s="162"/>
      <c r="W526" s="162"/>
      <c r="X526" s="163"/>
      <c r="Y526" s="154"/>
      <c r="Z526" s="147"/>
      <c r="AA526" s="147"/>
      <c r="AB526" s="148"/>
      <c r="AC526" s="732"/>
      <c r="AD526" s="732"/>
      <c r="AE526" s="732"/>
      <c r="AF526" s="732"/>
      <c r="AI526" s="109" t="str">
        <f>"2A:ninti_senmoncare_code:" &amp; IF(I526="■",1,IF(O526="■",3,IF(L526="■",2,0)))</f>
        <v>2A:ninti_senmoncare_code:0</v>
      </c>
    </row>
    <row r="527" spans="1:35" s="109" customFormat="1" ht="18.75" customHeight="1" x14ac:dyDescent="0.2">
      <c r="A527" s="260"/>
      <c r="B527" s="261"/>
      <c r="C527" s="140"/>
      <c r="D527" s="141"/>
      <c r="E527" s="128"/>
      <c r="F527" s="141"/>
      <c r="G527" s="128"/>
      <c r="H527" s="242" t="s">
        <v>142</v>
      </c>
      <c r="I527" s="156" t="s">
        <v>383</v>
      </c>
      <c r="J527" s="157" t="s">
        <v>250</v>
      </c>
      <c r="K527" s="157"/>
      <c r="L527" s="160" t="s">
        <v>383</v>
      </c>
      <c r="M527" s="157" t="s">
        <v>251</v>
      </c>
      <c r="N527" s="157"/>
      <c r="O527" s="160" t="s">
        <v>383</v>
      </c>
      <c r="P527" s="157" t="s">
        <v>252</v>
      </c>
      <c r="Q527" s="162"/>
      <c r="R527" s="162"/>
      <c r="S527" s="162"/>
      <c r="T527" s="162"/>
      <c r="U527" s="162"/>
      <c r="V527" s="162"/>
      <c r="W527" s="162"/>
      <c r="X527" s="163"/>
      <c r="Y527" s="154"/>
      <c r="Z527" s="147"/>
      <c r="AA527" s="147"/>
      <c r="AB527" s="148"/>
      <c r="AC527" s="732"/>
      <c r="AD527" s="732"/>
      <c r="AE527" s="732"/>
      <c r="AF527" s="732"/>
      <c r="AI527" s="109" t="str">
        <f>"2A:field164:" &amp; IF(I527="■",1,IF(L527="■",2,IF(O527="■",3,0)))</f>
        <v>2A:field164:0</v>
      </c>
    </row>
    <row r="528" spans="1:35" s="109" customFormat="1" ht="18.75" customHeight="1" x14ac:dyDescent="0.2">
      <c r="A528" s="260"/>
      <c r="B528" s="261"/>
      <c r="C528" s="140"/>
      <c r="D528" s="141"/>
      <c r="E528" s="128"/>
      <c r="F528" s="142"/>
      <c r="G528" s="128"/>
      <c r="H528" s="741" t="s">
        <v>149</v>
      </c>
      <c r="I528" s="175" t="s">
        <v>383</v>
      </c>
      <c r="J528" s="168" t="s">
        <v>320</v>
      </c>
      <c r="K528" s="168"/>
      <c r="L528" s="251"/>
      <c r="M528" s="251"/>
      <c r="N528" s="251"/>
      <c r="O528" s="251"/>
      <c r="P528" s="206" t="s">
        <v>383</v>
      </c>
      <c r="Q528" s="168" t="s">
        <v>321</v>
      </c>
      <c r="R528" s="251"/>
      <c r="S528" s="251"/>
      <c r="T528" s="251"/>
      <c r="U528" s="251"/>
      <c r="V528" s="251"/>
      <c r="W528" s="251"/>
      <c r="X528" s="252"/>
      <c r="Y528" s="154"/>
      <c r="Z528" s="147"/>
      <c r="AA528" s="147"/>
      <c r="AB528" s="148"/>
      <c r="AC528" s="732"/>
      <c r="AD528" s="732"/>
      <c r="AE528" s="732"/>
      <c r="AF528" s="732"/>
      <c r="AI528" s="109" t="str">
        <f>"2A:" &amp; IF(AND(I528="□",P528="□",I529="□"),"tokusin_jyusho_code:0:tokusin_yakuzai_code:0:shuudan_comu_code:0",IF(I528="■","tokusin_jyusho_code:2","tokusin_jyusho_code:1")
&amp;IF(P528="■",":tokusin_yakuzai_code:2",":tokusin_yakuzai_code:1")
&amp;IF(I529="■",":shuudan_comu_code:2",":shuudan_comu_code:1"))</f>
        <v>2A:tokusin_jyusho_code:0:tokusin_yakuzai_code:0:shuudan_comu_code:0</v>
      </c>
    </row>
    <row r="529" spans="1:36" s="109" customFormat="1" ht="18.75" customHeight="1" x14ac:dyDescent="0.2">
      <c r="A529" s="260"/>
      <c r="B529" s="261"/>
      <c r="C529" s="140"/>
      <c r="D529" s="141"/>
      <c r="E529" s="128"/>
      <c r="F529" s="142"/>
      <c r="G529" s="128"/>
      <c r="H529" s="742"/>
      <c r="I529" s="150" t="s">
        <v>383</v>
      </c>
      <c r="J529" s="169" t="s">
        <v>334</v>
      </c>
      <c r="K529" s="152"/>
      <c r="L529" s="152"/>
      <c r="M529" s="152"/>
      <c r="N529" s="152"/>
      <c r="O529" s="152"/>
      <c r="P529" s="152"/>
      <c r="Q529" s="151"/>
      <c r="R529" s="152"/>
      <c r="S529" s="152"/>
      <c r="T529" s="152"/>
      <c r="U529" s="152"/>
      <c r="V529" s="152"/>
      <c r="W529" s="152"/>
      <c r="X529" s="153"/>
      <c r="Y529" s="154"/>
      <c r="Z529" s="147"/>
      <c r="AA529" s="147"/>
      <c r="AB529" s="148"/>
      <c r="AC529" s="732"/>
      <c r="AD529" s="732"/>
      <c r="AE529" s="732"/>
      <c r="AF529" s="732"/>
    </row>
    <row r="530" spans="1:36" s="109" customFormat="1" ht="18.75" customHeight="1" x14ac:dyDescent="0.2">
      <c r="A530" s="260"/>
      <c r="B530" s="261"/>
      <c r="C530" s="140"/>
      <c r="D530" s="141"/>
      <c r="E530" s="128"/>
      <c r="F530" s="142"/>
      <c r="G530" s="128"/>
      <c r="H530" s="741" t="s">
        <v>103</v>
      </c>
      <c r="I530" s="175" t="s">
        <v>383</v>
      </c>
      <c r="J530" s="168" t="s">
        <v>335</v>
      </c>
      <c r="K530" s="181"/>
      <c r="L530" s="214"/>
      <c r="M530" s="206" t="s">
        <v>383</v>
      </c>
      <c r="N530" s="168" t="s">
        <v>336</v>
      </c>
      <c r="O530" s="251"/>
      <c r="P530" s="251"/>
      <c r="Q530" s="206" t="s">
        <v>383</v>
      </c>
      <c r="R530" s="168" t="s">
        <v>337</v>
      </c>
      <c r="S530" s="251"/>
      <c r="T530" s="251"/>
      <c r="U530" s="251"/>
      <c r="V530" s="251"/>
      <c r="W530" s="251"/>
      <c r="X530" s="252"/>
      <c r="Y530" s="154"/>
      <c r="Z530" s="147"/>
      <c r="AA530" s="147"/>
      <c r="AB530" s="148"/>
      <c r="AC530" s="732"/>
      <c r="AD530" s="732"/>
      <c r="AE530" s="732"/>
      <c r="AF530" s="732"/>
      <c r="AI530" s="109" t="str">
        <f>"2A:"&amp;IF(AND(I530="□",M530="□",Q530="□",I531="□",Q531="□"),"koriha_rryoho1_code:0:koriha_sryoho_code:0:koriha_gengo_code:0:riha_seisin_code:0:koriha_other_code:0",IF(I530="■","koriha_rryoho1_code:2","koriha_rryoho1_code:1")
&amp;IF(M530="■",":koriha_sryoho_code:2",":koriha_sryoho_code:1")
&amp;IF(Q530="■",":koriha_gengo_code:2",":koriha_gengo_code:1")
&amp;IF(I531="■",":riha_seisin_code:2",":riha_seisin_code:1")
&amp;IF(Q531="■",":koriha_other_code:2",":koriha_other_code:1"))</f>
        <v>2A:koriha_rryoho1_code:0:koriha_sryoho_code:0:koriha_gengo_code:0:riha_seisin_code:0:koriha_other_code:0</v>
      </c>
    </row>
    <row r="531" spans="1:36" s="109" customFormat="1" ht="18.75" customHeight="1" x14ac:dyDescent="0.2">
      <c r="A531" s="260"/>
      <c r="B531" s="261"/>
      <c r="C531" s="140"/>
      <c r="D531" s="141"/>
      <c r="E531" s="128"/>
      <c r="F531" s="142"/>
      <c r="G531" s="128"/>
      <c r="H531" s="742"/>
      <c r="I531" s="150" t="s">
        <v>383</v>
      </c>
      <c r="J531" s="169" t="s">
        <v>338</v>
      </c>
      <c r="K531" s="152"/>
      <c r="L531" s="152"/>
      <c r="M531" s="152"/>
      <c r="N531" s="152"/>
      <c r="O531" s="152"/>
      <c r="P531" s="152"/>
      <c r="Q531" s="203" t="s">
        <v>383</v>
      </c>
      <c r="R531" s="169" t="s">
        <v>339</v>
      </c>
      <c r="S531" s="151"/>
      <c r="T531" s="152"/>
      <c r="U531" s="152"/>
      <c r="V531" s="152"/>
      <c r="W531" s="152"/>
      <c r="X531" s="153"/>
      <c r="Y531" s="154"/>
      <c r="Z531" s="147"/>
      <c r="AA531" s="147"/>
      <c r="AB531" s="148"/>
      <c r="AC531" s="732"/>
      <c r="AD531" s="732"/>
      <c r="AE531" s="732"/>
      <c r="AF531" s="732"/>
    </row>
    <row r="532" spans="1:36" s="109" customFormat="1" ht="18.75" customHeight="1" x14ac:dyDescent="0.2">
      <c r="A532" s="260"/>
      <c r="B532" s="261"/>
      <c r="C532" s="140"/>
      <c r="D532" s="141"/>
      <c r="E532" s="128"/>
      <c r="F532" s="142"/>
      <c r="G532" s="128"/>
      <c r="H532" s="250" t="s">
        <v>442</v>
      </c>
      <c r="I532" s="156" t="s">
        <v>383</v>
      </c>
      <c r="J532" s="157" t="s">
        <v>250</v>
      </c>
      <c r="K532" s="157"/>
      <c r="L532" s="160" t="s">
        <v>383</v>
      </c>
      <c r="M532" s="157" t="s">
        <v>251</v>
      </c>
      <c r="N532" s="157"/>
      <c r="O532" s="160" t="s">
        <v>383</v>
      </c>
      <c r="P532" s="157" t="s">
        <v>252</v>
      </c>
      <c r="Q532" s="162"/>
      <c r="R532" s="162"/>
      <c r="S532" s="162"/>
      <c r="T532" s="162"/>
      <c r="U532" s="251"/>
      <c r="V532" s="251"/>
      <c r="W532" s="251"/>
      <c r="X532" s="252"/>
      <c r="Y532" s="154"/>
      <c r="Z532" s="147"/>
      <c r="AA532" s="147"/>
      <c r="AB532" s="148"/>
      <c r="AC532" s="732"/>
      <c r="AD532" s="732"/>
      <c r="AE532" s="732"/>
      <c r="AF532" s="732"/>
      <c r="AI532" s="109" t="str">
        <f>"2A:field225:" &amp; IF(I532="■",1,IF(L532="■",2,IF(O532="■",3,0)))</f>
        <v>2A:field225:0</v>
      </c>
    </row>
    <row r="533" spans="1:36" s="109" customFormat="1" ht="18.75" customHeight="1" x14ac:dyDescent="0.2">
      <c r="A533" s="260"/>
      <c r="B533" s="261"/>
      <c r="C533" s="140"/>
      <c r="D533" s="141"/>
      <c r="E533" s="128"/>
      <c r="F533" s="142"/>
      <c r="G533" s="128"/>
      <c r="H533" s="164" t="s">
        <v>118</v>
      </c>
      <c r="I533" s="156" t="s">
        <v>383</v>
      </c>
      <c r="J533" s="157" t="s">
        <v>250</v>
      </c>
      <c r="K533" s="157"/>
      <c r="L533" s="160" t="s">
        <v>383</v>
      </c>
      <c r="M533" s="157" t="s">
        <v>258</v>
      </c>
      <c r="N533" s="157"/>
      <c r="O533" s="160" t="s">
        <v>383</v>
      </c>
      <c r="P533" s="157" t="s">
        <v>259</v>
      </c>
      <c r="Q533" s="207"/>
      <c r="R533" s="160" t="s">
        <v>383</v>
      </c>
      <c r="S533" s="157" t="s">
        <v>283</v>
      </c>
      <c r="T533" s="207"/>
      <c r="U533" s="207"/>
      <c r="V533" s="207"/>
      <c r="W533" s="207"/>
      <c r="X533" s="208"/>
      <c r="Y533" s="154"/>
      <c r="Z533" s="147"/>
      <c r="AA533" s="147"/>
      <c r="AB533" s="148"/>
      <c r="AC533" s="732"/>
      <c r="AD533" s="732"/>
      <c r="AE533" s="732"/>
      <c r="AF533" s="732"/>
      <c r="AI533" s="109" t="str">
        <f>"2A:serteikyo_kyoka_code:" &amp; IF(I533="■",1,IF(L533="■",6,IF(O533="■",5,IF(R533="■",7,0))))</f>
        <v>2A:serteikyo_kyoka_code:0</v>
      </c>
    </row>
    <row r="534" spans="1:36" s="109" customFormat="1" ht="18.75" customHeight="1" x14ac:dyDescent="0.2">
      <c r="A534" s="139"/>
      <c r="B534" s="670"/>
      <c r="C534" s="140"/>
      <c r="D534" s="141"/>
      <c r="E534" s="143"/>
      <c r="F534" s="141"/>
      <c r="G534" s="128"/>
      <c r="H534" s="713" t="s">
        <v>801</v>
      </c>
      <c r="I534" s="745" t="s">
        <v>383</v>
      </c>
      <c r="J534" s="746" t="s">
        <v>250</v>
      </c>
      <c r="K534" s="746"/>
      <c r="L534" s="747" t="s">
        <v>383</v>
      </c>
      <c r="M534" s="746" t="s">
        <v>267</v>
      </c>
      <c r="N534" s="746"/>
      <c r="O534" s="375"/>
      <c r="P534" s="375"/>
      <c r="Q534" s="375"/>
      <c r="R534" s="375"/>
      <c r="S534" s="375"/>
      <c r="T534" s="375"/>
      <c r="U534" s="375"/>
      <c r="V534" s="375"/>
      <c r="W534" s="375"/>
      <c r="X534" s="441"/>
      <c r="Y534" s="154"/>
      <c r="Z534" s="147"/>
      <c r="AA534" s="147"/>
      <c r="AB534" s="148"/>
      <c r="AC534" s="732"/>
      <c r="AD534" s="732"/>
      <c r="AE534" s="732"/>
      <c r="AF534" s="732"/>
      <c r="AI534" s="109" t="str">
        <f>"23:field221:" &amp; IF(I534="■",1,IF(L534="■",2,0))</f>
        <v>23:field221:0</v>
      </c>
    </row>
    <row r="535" spans="1:36" s="109" customFormat="1" ht="18.75" customHeight="1" x14ac:dyDescent="0.2">
      <c r="A535" s="139"/>
      <c r="B535" s="670"/>
      <c r="C535" s="140"/>
      <c r="D535" s="141"/>
      <c r="E535" s="143"/>
      <c r="F535" s="141"/>
      <c r="G535" s="128"/>
      <c r="H535" s="737"/>
      <c r="I535" s="745"/>
      <c r="J535" s="746"/>
      <c r="K535" s="746"/>
      <c r="L535" s="747"/>
      <c r="M535" s="746"/>
      <c r="N535" s="746"/>
      <c r="O535" s="381"/>
      <c r="P535" s="381"/>
      <c r="Q535" s="381"/>
      <c r="R535" s="381"/>
      <c r="S535" s="381"/>
      <c r="T535" s="381"/>
      <c r="U535" s="381"/>
      <c r="V535" s="381"/>
      <c r="W535" s="381"/>
      <c r="X535" s="442"/>
      <c r="Y535" s="154"/>
      <c r="Z535" s="147"/>
      <c r="AA535" s="147"/>
      <c r="AB535" s="148"/>
      <c r="AC535" s="732"/>
      <c r="AD535" s="732"/>
      <c r="AE535" s="732"/>
      <c r="AF535" s="732"/>
    </row>
    <row r="536" spans="1:36" s="621" customFormat="1" ht="18.75" customHeight="1" x14ac:dyDescent="0.2">
      <c r="A536" s="139"/>
      <c r="B536" s="670"/>
      <c r="C536" s="140"/>
      <c r="D536" s="141"/>
      <c r="E536" s="143"/>
      <c r="F536" s="142"/>
      <c r="G536" s="128"/>
      <c r="H536" s="713" t="s">
        <v>790</v>
      </c>
      <c r="I536" s="642" t="s">
        <v>383</v>
      </c>
      <c r="J536" s="616" t="s">
        <v>627</v>
      </c>
      <c r="K536" s="616"/>
      <c r="L536" s="615"/>
      <c r="M536" s="644" t="s">
        <v>383</v>
      </c>
      <c r="N536" s="616" t="s">
        <v>791</v>
      </c>
      <c r="O536" s="617"/>
      <c r="P536" s="615"/>
      <c r="Q536" s="644" t="s">
        <v>383</v>
      </c>
      <c r="R536" s="618" t="s">
        <v>802</v>
      </c>
      <c r="S536" s="615"/>
      <c r="T536" s="615"/>
      <c r="U536" s="615"/>
      <c r="V536" s="618"/>
      <c r="W536" s="619"/>
      <c r="X536" s="620"/>
      <c r="Y536" s="154"/>
      <c r="Z536" s="147"/>
      <c r="AA536" s="147"/>
      <c r="AB536" s="148"/>
      <c r="AC536" s="732"/>
      <c r="AD536" s="732"/>
      <c r="AE536" s="732"/>
      <c r="AF536" s="732"/>
    </row>
    <row r="537" spans="1:36" s="621" customFormat="1" ht="18.75" customHeight="1" x14ac:dyDescent="0.2">
      <c r="A537" s="139"/>
      <c r="B537" s="670"/>
      <c r="C537" s="140"/>
      <c r="D537" s="141"/>
      <c r="E537" s="143"/>
      <c r="F537" s="142"/>
      <c r="G537" s="128"/>
      <c r="H537" s="714"/>
      <c r="I537" s="643" t="s">
        <v>383</v>
      </c>
      <c r="J537" s="623" t="s">
        <v>803</v>
      </c>
      <c r="K537" s="623"/>
      <c r="L537" s="622"/>
      <c r="M537" s="211" t="s">
        <v>383</v>
      </c>
      <c r="N537" s="623" t="s">
        <v>804</v>
      </c>
      <c r="O537" s="624"/>
      <c r="P537" s="622"/>
      <c r="Q537" s="211" t="s">
        <v>383</v>
      </c>
      <c r="R537" s="623" t="s">
        <v>795</v>
      </c>
      <c r="S537" s="622"/>
      <c r="T537" s="623"/>
      <c r="U537" s="211" t="s">
        <v>383</v>
      </c>
      <c r="V537" s="623" t="s">
        <v>796</v>
      </c>
      <c r="W537" s="625"/>
      <c r="X537" s="626"/>
      <c r="Y537" s="154"/>
      <c r="Z537" s="147"/>
      <c r="AA537" s="147"/>
      <c r="AB537" s="148"/>
      <c r="AC537" s="732"/>
      <c r="AD537" s="732"/>
      <c r="AE537" s="732"/>
      <c r="AF537" s="732"/>
    </row>
    <row r="538" spans="1:36" s="109" customFormat="1" ht="18.75" customHeight="1" x14ac:dyDescent="0.2">
      <c r="A538" s="258"/>
      <c r="B538" s="259"/>
      <c r="C538" s="130"/>
      <c r="D538" s="131"/>
      <c r="E538" s="121"/>
      <c r="F538" s="132"/>
      <c r="G538" s="121"/>
      <c r="H538" s="740" t="s">
        <v>97</v>
      </c>
      <c r="I538" s="412" t="s">
        <v>383</v>
      </c>
      <c r="J538" s="413" t="s">
        <v>300</v>
      </c>
      <c r="K538" s="414"/>
      <c r="L538" s="415"/>
      <c r="M538" s="416" t="s">
        <v>383</v>
      </c>
      <c r="N538" s="413" t="s">
        <v>328</v>
      </c>
      <c r="O538" s="417"/>
      <c r="P538" s="417"/>
      <c r="Q538" s="416" t="s">
        <v>383</v>
      </c>
      <c r="R538" s="413" t="s">
        <v>329</v>
      </c>
      <c r="S538" s="417"/>
      <c r="T538" s="417"/>
      <c r="U538" s="416" t="s">
        <v>383</v>
      </c>
      <c r="V538" s="413" t="s">
        <v>330</v>
      </c>
      <c r="W538" s="417"/>
      <c r="X538" s="418"/>
      <c r="Y538" s="412" t="s">
        <v>383</v>
      </c>
      <c r="Z538" s="119" t="s">
        <v>249</v>
      </c>
      <c r="AA538" s="119"/>
      <c r="AB538" s="137"/>
      <c r="AC538" s="730"/>
      <c r="AD538" s="730"/>
      <c r="AE538" s="730"/>
      <c r="AF538" s="730"/>
      <c r="AG538" s="109" t="str">
        <f>"ser_code = '" &amp; IF(A550="■","2A","") &amp; "'"</f>
        <v>ser_code = ''</v>
      </c>
      <c r="AI538" s="109" t="str">
        <f>"2A:yakan_kinmu_code:" &amp; IF(I538="■",1,IF(M538="■",2,IF(Q538="■",3,IF(U538="■",7,IF(I539="■",5,IF(M539="■",6,0))))))</f>
        <v>2A:yakan_kinmu_code:0</v>
      </c>
      <c r="AJ538" s="109" t="str">
        <f>"2A:field203:" &amp; IF(Y538="■",1,IF(Y539="■",2,0))</f>
        <v>2A:field203:0</v>
      </c>
    </row>
    <row r="539" spans="1:36" s="109" customFormat="1" ht="18.75" customHeight="1" x14ac:dyDescent="0.2">
      <c r="A539" s="260"/>
      <c r="B539" s="261"/>
      <c r="C539" s="140"/>
      <c r="D539" s="141"/>
      <c r="E539" s="128"/>
      <c r="F539" s="142"/>
      <c r="G539" s="128"/>
      <c r="H539" s="739"/>
      <c r="I539" s="380" t="s">
        <v>383</v>
      </c>
      <c r="J539" s="381" t="s">
        <v>331</v>
      </c>
      <c r="K539" s="419"/>
      <c r="L539" s="382"/>
      <c r="M539" s="383" t="s">
        <v>383</v>
      </c>
      <c r="N539" s="381" t="s">
        <v>301</v>
      </c>
      <c r="O539" s="384"/>
      <c r="P539" s="384"/>
      <c r="Q539" s="384"/>
      <c r="R539" s="384"/>
      <c r="S539" s="384"/>
      <c r="T539" s="384"/>
      <c r="U539" s="384"/>
      <c r="V539" s="384"/>
      <c r="W539" s="384"/>
      <c r="X539" s="385"/>
      <c r="Y539" s="443" t="s">
        <v>383</v>
      </c>
      <c r="Z539" s="126" t="s">
        <v>255</v>
      </c>
      <c r="AA539" s="147"/>
      <c r="AB539" s="148"/>
      <c r="AC539" s="731"/>
      <c r="AD539" s="731"/>
      <c r="AE539" s="731"/>
      <c r="AF539" s="731"/>
      <c r="AG539" s="109" t="str">
        <f>"2A:sisetukbn_code:"&amp;IF(D550="■","5",0)</f>
        <v>2A:sisetukbn_code:0</v>
      </c>
    </row>
    <row r="540" spans="1:36" s="109" customFormat="1" ht="18.75" customHeight="1" x14ac:dyDescent="0.2">
      <c r="A540" s="260"/>
      <c r="B540" s="261"/>
      <c r="C540" s="140"/>
      <c r="D540" s="141"/>
      <c r="E540" s="128"/>
      <c r="F540" s="142"/>
      <c r="G540" s="128"/>
      <c r="H540" s="738" t="s">
        <v>93</v>
      </c>
      <c r="I540" s="374" t="s">
        <v>383</v>
      </c>
      <c r="J540" s="375" t="s">
        <v>250</v>
      </c>
      <c r="K540" s="375"/>
      <c r="L540" s="376"/>
      <c r="M540" s="377" t="s">
        <v>383</v>
      </c>
      <c r="N540" s="375" t="s">
        <v>289</v>
      </c>
      <c r="O540" s="375"/>
      <c r="P540" s="376"/>
      <c r="Q540" s="377" t="s">
        <v>383</v>
      </c>
      <c r="R540" s="378" t="s">
        <v>372</v>
      </c>
      <c r="S540" s="378"/>
      <c r="T540" s="378"/>
      <c r="U540" s="410"/>
      <c r="V540" s="376"/>
      <c r="W540" s="378"/>
      <c r="X540" s="411"/>
      <c r="Y540" s="444"/>
      <c r="Z540" s="147"/>
      <c r="AA540" s="147"/>
      <c r="AB540" s="148"/>
      <c r="AC540" s="732"/>
      <c r="AD540" s="732"/>
      <c r="AE540" s="732"/>
      <c r="AF540" s="732"/>
      <c r="AI540" s="109" t="str">
        <f>"2A:"&amp;IF(AND(I540="□",M540="□",Q540="□",I541="□",M541="□"),"ketu_doctor_code:0",IF(I540="■","ketu_doctor_code:1:field197:1:ketu_kangos_code:1:ketu_kshoku_code:1",IF(M540="■","ketu_doctor_code:2","ketu_doctor_code:1")
&amp;IF(Q540="■",":field197:2",":field197:1")
&amp;IF(I541="■",":ketu_kangos_code:2",":ketu_kangos_code:1")
&amp;IF(M541="■",":ketu_kshoku_code:2",":ketu_kshoku_code:1")))</f>
        <v>2A:ketu_doctor_code:0</v>
      </c>
    </row>
    <row r="541" spans="1:36" s="109" customFormat="1" ht="18.75" customHeight="1" x14ac:dyDescent="0.2">
      <c r="A541" s="260"/>
      <c r="B541" s="261"/>
      <c r="C541" s="140"/>
      <c r="D541" s="141"/>
      <c r="E541" s="128"/>
      <c r="F541" s="142"/>
      <c r="G541" s="128"/>
      <c r="H541" s="739"/>
      <c r="I541" s="380" t="s">
        <v>383</v>
      </c>
      <c r="J541" s="384" t="s">
        <v>373</v>
      </c>
      <c r="K541" s="384"/>
      <c r="L541" s="384"/>
      <c r="M541" s="383" t="s">
        <v>383</v>
      </c>
      <c r="N541" s="384" t="s">
        <v>374</v>
      </c>
      <c r="O541" s="382"/>
      <c r="P541" s="384"/>
      <c r="Q541" s="384"/>
      <c r="R541" s="382"/>
      <c r="S541" s="384"/>
      <c r="T541" s="384"/>
      <c r="U541" s="436"/>
      <c r="V541" s="382"/>
      <c r="W541" s="384"/>
      <c r="X541" s="437"/>
      <c r="Y541" s="444"/>
      <c r="Z541" s="147"/>
      <c r="AA541" s="147"/>
      <c r="AB541" s="148"/>
      <c r="AC541" s="732"/>
      <c r="AD541" s="732"/>
      <c r="AE541" s="732"/>
      <c r="AF541" s="732"/>
    </row>
    <row r="542" spans="1:36" s="109" customFormat="1" ht="18.75" customHeight="1" x14ac:dyDescent="0.2">
      <c r="A542" s="260"/>
      <c r="B542" s="261"/>
      <c r="C542" s="140"/>
      <c r="D542" s="141"/>
      <c r="E542" s="128"/>
      <c r="F542" s="142"/>
      <c r="G542" s="128"/>
      <c r="H542" s="364" t="s">
        <v>98</v>
      </c>
      <c r="I542" s="349" t="s">
        <v>383</v>
      </c>
      <c r="J542" s="350" t="s">
        <v>265</v>
      </c>
      <c r="K542" s="351"/>
      <c r="L542" s="352"/>
      <c r="M542" s="353" t="s">
        <v>383</v>
      </c>
      <c r="N542" s="350" t="s">
        <v>266</v>
      </c>
      <c r="O542" s="355"/>
      <c r="P542" s="355"/>
      <c r="Q542" s="355"/>
      <c r="R542" s="355"/>
      <c r="S542" s="355"/>
      <c r="T542" s="355"/>
      <c r="U542" s="355"/>
      <c r="V542" s="355"/>
      <c r="W542" s="355"/>
      <c r="X542" s="356"/>
      <c r="Y542" s="444"/>
      <c r="Z542" s="147"/>
      <c r="AA542" s="147"/>
      <c r="AB542" s="148"/>
      <c r="AC542" s="732"/>
      <c r="AD542" s="732"/>
      <c r="AE542" s="732"/>
      <c r="AF542" s="732"/>
      <c r="AI542" s="109" t="str">
        <f>"2A:unitcare_code:" &amp; IF(I542="■",1,IF(M542="■",2,0))</f>
        <v>2A:unitcare_code:0</v>
      </c>
    </row>
    <row r="543" spans="1:36" s="109" customFormat="1" ht="18.75" customHeight="1" x14ac:dyDescent="0.2">
      <c r="A543" s="139"/>
      <c r="B543" s="123"/>
      <c r="C543" s="248"/>
      <c r="D543" s="249"/>
      <c r="E543" s="128"/>
      <c r="F543" s="142"/>
      <c r="G543" s="143"/>
      <c r="H543" s="364" t="s">
        <v>107</v>
      </c>
      <c r="I543" s="349" t="s">
        <v>383</v>
      </c>
      <c r="J543" s="350" t="s">
        <v>395</v>
      </c>
      <c r="K543" s="351"/>
      <c r="L543" s="352"/>
      <c r="M543" s="353" t="s">
        <v>383</v>
      </c>
      <c r="N543" s="350" t="s">
        <v>396</v>
      </c>
      <c r="O543" s="351"/>
      <c r="P543" s="351"/>
      <c r="Q543" s="351"/>
      <c r="R543" s="351"/>
      <c r="S543" s="351"/>
      <c r="T543" s="351"/>
      <c r="U543" s="351"/>
      <c r="V543" s="351"/>
      <c r="W543" s="351"/>
      <c r="X543" s="365"/>
      <c r="Y543" s="444"/>
      <c r="Z543" s="147"/>
      <c r="AA543" s="147"/>
      <c r="AB543" s="148"/>
      <c r="AC543" s="732"/>
      <c r="AD543" s="732"/>
      <c r="AE543" s="732"/>
      <c r="AF543" s="732"/>
      <c r="AI543" s="109" t="str">
        <f>"2A:sintaikousoku_code:" &amp; IF(I543="■",1,IF(M543="■",2,0))</f>
        <v>2A:sintaikousoku_code:0</v>
      </c>
    </row>
    <row r="544" spans="1:36" s="109" customFormat="1" ht="19.5" customHeight="1" x14ac:dyDescent="0.2">
      <c r="A544" s="139"/>
      <c r="B544" s="123"/>
      <c r="C544" s="140"/>
      <c r="D544" s="141"/>
      <c r="E544" s="128"/>
      <c r="F544" s="142"/>
      <c r="G544" s="143"/>
      <c r="H544" s="348" t="s">
        <v>430</v>
      </c>
      <c r="I544" s="349" t="s">
        <v>383</v>
      </c>
      <c r="J544" s="350" t="s">
        <v>395</v>
      </c>
      <c r="K544" s="351"/>
      <c r="L544" s="352"/>
      <c r="M544" s="353" t="s">
        <v>383</v>
      </c>
      <c r="N544" s="350" t="s">
        <v>431</v>
      </c>
      <c r="O544" s="354"/>
      <c r="P544" s="350"/>
      <c r="Q544" s="355"/>
      <c r="R544" s="355"/>
      <c r="S544" s="355"/>
      <c r="T544" s="355"/>
      <c r="U544" s="355"/>
      <c r="V544" s="355"/>
      <c r="W544" s="355"/>
      <c r="X544" s="356"/>
      <c r="Y544" s="445"/>
      <c r="Z544" s="147"/>
      <c r="AA544" s="147"/>
      <c r="AB544" s="148"/>
      <c r="AC544" s="732"/>
      <c r="AD544" s="732"/>
      <c r="AE544" s="732"/>
      <c r="AF544" s="732"/>
      <c r="AI544" s="109" t="str">
        <f>"2A:field223:" &amp; IF(I544="■",1,IF(M544="■",2,0))</f>
        <v>2A:field223:0</v>
      </c>
    </row>
    <row r="545" spans="1:35" s="109" customFormat="1" ht="19.5" customHeight="1" x14ac:dyDescent="0.2">
      <c r="A545" s="139"/>
      <c r="B545" s="123"/>
      <c r="C545" s="140"/>
      <c r="D545" s="141"/>
      <c r="E545" s="128"/>
      <c r="F545" s="142"/>
      <c r="G545" s="143"/>
      <c r="H545" s="155" t="s">
        <v>448</v>
      </c>
      <c r="I545" s="156" t="s">
        <v>383</v>
      </c>
      <c r="J545" s="157" t="s">
        <v>395</v>
      </c>
      <c r="K545" s="158"/>
      <c r="L545" s="159"/>
      <c r="M545" s="160" t="s">
        <v>383</v>
      </c>
      <c r="N545" s="157" t="s">
        <v>431</v>
      </c>
      <c r="O545" s="161"/>
      <c r="P545" s="157"/>
      <c r="Q545" s="162"/>
      <c r="R545" s="162"/>
      <c r="S545" s="162"/>
      <c r="T545" s="162"/>
      <c r="U545" s="162"/>
      <c r="V545" s="162"/>
      <c r="W545" s="162"/>
      <c r="X545" s="163"/>
      <c r="Y545" s="147"/>
      <c r="Z545" s="147"/>
      <c r="AA545" s="147"/>
      <c r="AB545" s="148"/>
      <c r="AC545" s="732"/>
      <c r="AD545" s="732"/>
      <c r="AE545" s="732"/>
      <c r="AF545" s="732"/>
      <c r="AI545" s="109" t="str">
        <f>"2A:field232:" &amp; IF(I545="■",1,IF(M545="■",2,0))</f>
        <v>2A:field232:0</v>
      </c>
    </row>
    <row r="546" spans="1:35" s="109" customFormat="1" ht="18.75" customHeight="1" x14ac:dyDescent="0.2">
      <c r="A546" s="260"/>
      <c r="B546" s="261"/>
      <c r="C546" s="140"/>
      <c r="D546" s="141"/>
      <c r="E546" s="128"/>
      <c r="F546" s="142"/>
      <c r="G546" s="128"/>
      <c r="H546" s="242" t="s">
        <v>164</v>
      </c>
      <c r="I546" s="156" t="s">
        <v>383</v>
      </c>
      <c r="J546" s="157" t="s">
        <v>300</v>
      </c>
      <c r="K546" s="158"/>
      <c r="L546" s="159"/>
      <c r="M546" s="160" t="s">
        <v>383</v>
      </c>
      <c r="N546" s="157" t="s">
        <v>332</v>
      </c>
      <c r="O546" s="162"/>
      <c r="P546" s="162"/>
      <c r="Q546" s="162"/>
      <c r="R546" s="162"/>
      <c r="S546" s="162"/>
      <c r="T546" s="162"/>
      <c r="U546" s="162"/>
      <c r="V546" s="162"/>
      <c r="W546" s="162"/>
      <c r="X546" s="163"/>
      <c r="Y546" s="154"/>
      <c r="Z546" s="147"/>
      <c r="AA546" s="147"/>
      <c r="AB546" s="148"/>
      <c r="AC546" s="732"/>
      <c r="AD546" s="732"/>
      <c r="AE546" s="732"/>
      <c r="AF546" s="732"/>
      <c r="AI546" s="109" t="str">
        <f>"2A:field190:" &amp; IF(I546="■",1,IF(M546="■",2,0))</f>
        <v>2A:field190:0</v>
      </c>
    </row>
    <row r="547" spans="1:35" s="109" customFormat="1" ht="18.75" customHeight="1" x14ac:dyDescent="0.2">
      <c r="A547" s="260"/>
      <c r="B547" s="261"/>
      <c r="C547" s="140"/>
      <c r="D547" s="141"/>
      <c r="E547" s="128"/>
      <c r="F547" s="142"/>
      <c r="G547" s="128"/>
      <c r="H547" s="242" t="s">
        <v>165</v>
      </c>
      <c r="I547" s="156" t="s">
        <v>383</v>
      </c>
      <c r="J547" s="157" t="s">
        <v>300</v>
      </c>
      <c r="K547" s="158"/>
      <c r="L547" s="159"/>
      <c r="M547" s="160" t="s">
        <v>383</v>
      </c>
      <c r="N547" s="157" t="s">
        <v>332</v>
      </c>
      <c r="O547" s="162"/>
      <c r="P547" s="162"/>
      <c r="Q547" s="162"/>
      <c r="R547" s="162"/>
      <c r="S547" s="162"/>
      <c r="T547" s="162"/>
      <c r="U547" s="162"/>
      <c r="V547" s="162"/>
      <c r="W547" s="162"/>
      <c r="X547" s="163"/>
      <c r="Y547" s="154"/>
      <c r="Z547" s="147"/>
      <c r="AA547" s="147"/>
      <c r="AB547" s="148"/>
      <c r="AC547" s="732"/>
      <c r="AD547" s="732"/>
      <c r="AE547" s="732"/>
      <c r="AF547" s="732"/>
      <c r="AI547" s="109" t="str">
        <f>"2A:field191:" &amp; IF(I547="■",1,IF(M547="■",2,0))</f>
        <v>2A:field191:0</v>
      </c>
    </row>
    <row r="548" spans="1:35" s="109" customFormat="1" ht="18.75" customHeight="1" x14ac:dyDescent="0.2">
      <c r="A548" s="260"/>
      <c r="B548" s="261"/>
      <c r="C548" s="140"/>
      <c r="D548" s="141"/>
      <c r="E548" s="128"/>
      <c r="F548" s="142"/>
      <c r="G548" s="128"/>
      <c r="H548" s="242" t="s">
        <v>110</v>
      </c>
      <c r="I548" s="156" t="s">
        <v>383</v>
      </c>
      <c r="J548" s="157" t="s">
        <v>250</v>
      </c>
      <c r="K548" s="158"/>
      <c r="L548" s="160" t="s">
        <v>383</v>
      </c>
      <c r="M548" s="157" t="s">
        <v>267</v>
      </c>
      <c r="N548" s="162"/>
      <c r="O548" s="162"/>
      <c r="P548" s="162"/>
      <c r="Q548" s="162"/>
      <c r="R548" s="162"/>
      <c r="S548" s="162"/>
      <c r="T548" s="162"/>
      <c r="U548" s="162"/>
      <c r="V548" s="162"/>
      <c r="W548" s="162"/>
      <c r="X548" s="163"/>
      <c r="Y548" s="154"/>
      <c r="Z548" s="147"/>
      <c r="AA548" s="147"/>
      <c r="AB548" s="148"/>
      <c r="AC548" s="732"/>
      <c r="AD548" s="732"/>
      <c r="AE548" s="732"/>
      <c r="AF548" s="732"/>
      <c r="AI548" s="109" t="str">
        <f>"2A:jyakuninti_uke_code:" &amp; IF(I548="■",1,IF(L548="■",2,0))</f>
        <v>2A:jyakuninti_uke_code:0</v>
      </c>
    </row>
    <row r="549" spans="1:35" s="109" customFormat="1" ht="18.75" customHeight="1" x14ac:dyDescent="0.2">
      <c r="A549" s="260"/>
      <c r="B549" s="261"/>
      <c r="C549" s="140"/>
      <c r="D549" s="141"/>
      <c r="E549" s="128"/>
      <c r="F549" s="142"/>
      <c r="G549" s="128"/>
      <c r="H549" s="242" t="s">
        <v>95</v>
      </c>
      <c r="I549" s="156" t="s">
        <v>383</v>
      </c>
      <c r="J549" s="157" t="s">
        <v>265</v>
      </c>
      <c r="K549" s="158"/>
      <c r="L549" s="159"/>
      <c r="M549" s="160" t="s">
        <v>383</v>
      </c>
      <c r="N549" s="157" t="s">
        <v>266</v>
      </c>
      <c r="O549" s="162"/>
      <c r="P549" s="162"/>
      <c r="Q549" s="162"/>
      <c r="R549" s="162"/>
      <c r="S549" s="162"/>
      <c r="T549" s="162"/>
      <c r="U549" s="162"/>
      <c r="V549" s="162"/>
      <c r="W549" s="162"/>
      <c r="X549" s="163"/>
      <c r="Y549" s="154"/>
      <c r="Z549" s="147"/>
      <c r="AA549" s="147"/>
      <c r="AB549" s="148"/>
      <c r="AC549" s="732"/>
      <c r="AD549" s="732"/>
      <c r="AE549" s="732"/>
      <c r="AF549" s="732"/>
      <c r="AI549" s="109" t="str">
        <f>"2A:sougei_code:" &amp; IF(I549="■",1,IF(M549="■",2,0))</f>
        <v>2A:sougei_code:0</v>
      </c>
    </row>
    <row r="550" spans="1:35" s="109" customFormat="1" ht="19.5" customHeight="1" x14ac:dyDescent="0.2">
      <c r="A550" s="125" t="s">
        <v>383</v>
      </c>
      <c r="B550" s="261" t="s">
        <v>220</v>
      </c>
      <c r="C550" s="140" t="s">
        <v>193</v>
      </c>
      <c r="D550" s="118" t="s">
        <v>383</v>
      </c>
      <c r="E550" s="128" t="s">
        <v>381</v>
      </c>
      <c r="F550" s="142"/>
      <c r="G550" s="143"/>
      <c r="H550" s="155" t="s">
        <v>433</v>
      </c>
      <c r="I550" s="156" t="s">
        <v>383</v>
      </c>
      <c r="J550" s="157" t="s">
        <v>250</v>
      </c>
      <c r="K550" s="157"/>
      <c r="L550" s="160" t="s">
        <v>383</v>
      </c>
      <c r="M550" s="157" t="s">
        <v>267</v>
      </c>
      <c r="N550" s="157"/>
      <c r="O550" s="162"/>
      <c r="P550" s="157"/>
      <c r="Q550" s="162"/>
      <c r="R550" s="162"/>
      <c r="S550" s="162"/>
      <c r="T550" s="162"/>
      <c r="U550" s="162"/>
      <c r="V550" s="162"/>
      <c r="W550" s="162"/>
      <c r="X550" s="163"/>
      <c r="Y550" s="147"/>
      <c r="Z550" s="147"/>
      <c r="AA550" s="147"/>
      <c r="AB550" s="148"/>
      <c r="AC550" s="732"/>
      <c r="AD550" s="732"/>
      <c r="AE550" s="732"/>
      <c r="AF550" s="732"/>
      <c r="AI550" s="109" t="str">
        <f>"2A:field224:" &amp; IF(I550="■",1,IF(L550="■",2,0))</f>
        <v>2A:field224:0</v>
      </c>
    </row>
    <row r="551" spans="1:35" s="109" customFormat="1" ht="18.75" customHeight="1" x14ac:dyDescent="0.2">
      <c r="A551" s="260"/>
      <c r="B551" s="261"/>
      <c r="C551" s="140"/>
      <c r="D551" s="141"/>
      <c r="E551" s="128"/>
      <c r="F551" s="142"/>
      <c r="G551" s="128"/>
      <c r="H551" s="242" t="s">
        <v>112</v>
      </c>
      <c r="I551" s="156" t="s">
        <v>383</v>
      </c>
      <c r="J551" s="157" t="s">
        <v>250</v>
      </c>
      <c r="K551" s="158"/>
      <c r="L551" s="160" t="s">
        <v>383</v>
      </c>
      <c r="M551" s="157" t="s">
        <v>267</v>
      </c>
      <c r="N551" s="162"/>
      <c r="O551" s="162"/>
      <c r="P551" s="162"/>
      <c r="Q551" s="162"/>
      <c r="R551" s="162"/>
      <c r="S551" s="162"/>
      <c r="T551" s="162"/>
      <c r="U551" s="162"/>
      <c r="V551" s="162"/>
      <c r="W551" s="162"/>
      <c r="X551" s="163"/>
      <c r="Y551" s="154"/>
      <c r="Z551" s="147"/>
      <c r="AA551" s="147"/>
      <c r="AB551" s="148"/>
      <c r="AC551" s="732"/>
      <c r="AD551" s="732"/>
      <c r="AE551" s="732"/>
      <c r="AF551" s="732"/>
      <c r="AI551" s="109" t="str">
        <f>"2A:ryouyoushoku_code:" &amp; IF(I551="■",1,IF(L551="■",2,0))</f>
        <v>2A:ryouyoushoku_code:0</v>
      </c>
    </row>
    <row r="552" spans="1:35" s="109" customFormat="1" ht="18.75" customHeight="1" x14ac:dyDescent="0.2">
      <c r="A552" s="260"/>
      <c r="B552" s="261"/>
      <c r="C552" s="140"/>
      <c r="D552" s="141"/>
      <c r="E552" s="128"/>
      <c r="F552" s="142"/>
      <c r="G552" s="128"/>
      <c r="H552" s="242" t="s">
        <v>116</v>
      </c>
      <c r="I552" s="156" t="s">
        <v>383</v>
      </c>
      <c r="J552" s="157" t="s">
        <v>250</v>
      </c>
      <c r="K552" s="157"/>
      <c r="L552" s="160" t="s">
        <v>383</v>
      </c>
      <c r="M552" s="157" t="s">
        <v>251</v>
      </c>
      <c r="N552" s="157"/>
      <c r="O552" s="160" t="s">
        <v>383</v>
      </c>
      <c r="P552" s="157" t="s">
        <v>252</v>
      </c>
      <c r="Q552" s="162"/>
      <c r="R552" s="162"/>
      <c r="S552" s="162"/>
      <c r="T552" s="162"/>
      <c r="U552" s="162"/>
      <c r="V552" s="162"/>
      <c r="W552" s="162"/>
      <c r="X552" s="163"/>
      <c r="Y552" s="154"/>
      <c r="Z552" s="147"/>
      <c r="AA552" s="147"/>
      <c r="AB552" s="148"/>
      <c r="AC552" s="732"/>
      <c r="AD552" s="732"/>
      <c r="AE552" s="732"/>
      <c r="AF552" s="732"/>
      <c r="AI552" s="109" t="str">
        <f>"2A:ninti_senmoncare_code:" &amp; IF(I552="■",1,IF(O552="■",3,IF(L552="■",2,0)))</f>
        <v>2A:ninti_senmoncare_code:0</v>
      </c>
    </row>
    <row r="553" spans="1:35" s="109" customFormat="1" ht="18.75" customHeight="1" x14ac:dyDescent="0.2">
      <c r="A553" s="260"/>
      <c r="B553" s="261"/>
      <c r="C553" s="140"/>
      <c r="D553" s="141"/>
      <c r="E553" s="128"/>
      <c r="F553" s="142"/>
      <c r="G553" s="128"/>
      <c r="H553" s="242" t="s">
        <v>142</v>
      </c>
      <c r="I553" s="156" t="s">
        <v>383</v>
      </c>
      <c r="J553" s="157" t="s">
        <v>250</v>
      </c>
      <c r="K553" s="157"/>
      <c r="L553" s="160" t="s">
        <v>383</v>
      </c>
      <c r="M553" s="157" t="s">
        <v>251</v>
      </c>
      <c r="N553" s="157"/>
      <c r="O553" s="160" t="s">
        <v>383</v>
      </c>
      <c r="P553" s="157" t="s">
        <v>252</v>
      </c>
      <c r="Q553" s="162"/>
      <c r="R553" s="162"/>
      <c r="S553" s="162"/>
      <c r="T553" s="162"/>
      <c r="U553" s="162"/>
      <c r="V553" s="162"/>
      <c r="W553" s="162"/>
      <c r="X553" s="163"/>
      <c r="Y553" s="154"/>
      <c r="Z553" s="147"/>
      <c r="AA553" s="147"/>
      <c r="AB553" s="148"/>
      <c r="AC553" s="732"/>
      <c r="AD553" s="732"/>
      <c r="AE553" s="732"/>
      <c r="AF553" s="732"/>
      <c r="AI553" s="109" t="str">
        <f>"2A:field164:" &amp; IF(I553="■",1,IF(L553="■",2,IF(O553="■",3,0)))</f>
        <v>2A:field164:0</v>
      </c>
    </row>
    <row r="554" spans="1:35" s="109" customFormat="1" ht="18.75" customHeight="1" x14ac:dyDescent="0.2">
      <c r="A554" s="260"/>
      <c r="B554" s="261"/>
      <c r="C554" s="140"/>
      <c r="D554" s="141"/>
      <c r="E554" s="128"/>
      <c r="F554" s="142"/>
      <c r="G554" s="128"/>
      <c r="H554" s="741" t="s">
        <v>149</v>
      </c>
      <c r="I554" s="175" t="s">
        <v>383</v>
      </c>
      <c r="J554" s="168" t="s">
        <v>320</v>
      </c>
      <c r="K554" s="168"/>
      <c r="L554" s="251"/>
      <c r="M554" s="251"/>
      <c r="N554" s="251"/>
      <c r="O554" s="251"/>
      <c r="P554" s="206" t="s">
        <v>383</v>
      </c>
      <c r="Q554" s="168" t="s">
        <v>321</v>
      </c>
      <c r="R554" s="251"/>
      <c r="S554" s="251"/>
      <c r="T554" s="251"/>
      <c r="U554" s="251"/>
      <c r="V554" s="251"/>
      <c r="W554" s="251"/>
      <c r="X554" s="252"/>
      <c r="Y554" s="154"/>
      <c r="Z554" s="147"/>
      <c r="AA554" s="147"/>
      <c r="AB554" s="148"/>
      <c r="AC554" s="732"/>
      <c r="AD554" s="732"/>
      <c r="AE554" s="732"/>
      <c r="AF554" s="732"/>
      <c r="AI554" s="109" t="str">
        <f>"2A:" &amp; IF(AND(I554="□",P554="□",I555="□"),"tokusin_jyusho_code:0:tokusin_yakuzai_code:0:shuudan_comu_code:0",IF(I554="■","tokusin_jyusho_code:2","tokusin_jyusho_code:1")
&amp;IF(P554="■",":tokusin_yakuzai_code:2",":tokusin_yakuzai_code:1")
&amp;IF(I555="■",":shuudan_comu_code:2",":shuudan_comu_code:1"))</f>
        <v>2A:tokusin_jyusho_code:0:tokusin_yakuzai_code:0:shuudan_comu_code:0</v>
      </c>
    </row>
    <row r="555" spans="1:35" s="109" customFormat="1" ht="18.75" customHeight="1" x14ac:dyDescent="0.2">
      <c r="A555" s="260"/>
      <c r="B555" s="261"/>
      <c r="C555" s="140"/>
      <c r="D555" s="141"/>
      <c r="E555" s="128"/>
      <c r="F555" s="142"/>
      <c r="G555" s="128"/>
      <c r="H555" s="742"/>
      <c r="I555" s="150" t="s">
        <v>383</v>
      </c>
      <c r="J555" s="169" t="s">
        <v>334</v>
      </c>
      <c r="K555" s="152"/>
      <c r="L555" s="152"/>
      <c r="M555" s="152"/>
      <c r="N555" s="152"/>
      <c r="O555" s="152"/>
      <c r="P555" s="152"/>
      <c r="Q555" s="151"/>
      <c r="R555" s="152"/>
      <c r="S555" s="152"/>
      <c r="T555" s="152"/>
      <c r="U555" s="152"/>
      <c r="V555" s="152"/>
      <c r="W555" s="152"/>
      <c r="X555" s="153"/>
      <c r="Y555" s="154"/>
      <c r="Z555" s="147"/>
      <c r="AA555" s="147"/>
      <c r="AB555" s="148"/>
      <c r="AC555" s="732"/>
      <c r="AD555" s="732"/>
      <c r="AE555" s="732"/>
      <c r="AF555" s="732"/>
    </row>
    <row r="556" spans="1:35" s="109" customFormat="1" ht="18.75" customHeight="1" x14ac:dyDescent="0.2">
      <c r="A556" s="260"/>
      <c r="B556" s="261"/>
      <c r="C556" s="140"/>
      <c r="D556" s="141"/>
      <c r="E556" s="128"/>
      <c r="F556" s="142"/>
      <c r="G556" s="128"/>
      <c r="H556" s="741" t="s">
        <v>103</v>
      </c>
      <c r="I556" s="175" t="s">
        <v>383</v>
      </c>
      <c r="J556" s="168" t="s">
        <v>335</v>
      </c>
      <c r="K556" s="181"/>
      <c r="L556" s="214"/>
      <c r="M556" s="206" t="s">
        <v>383</v>
      </c>
      <c r="N556" s="168" t="s">
        <v>336</v>
      </c>
      <c r="O556" s="251"/>
      <c r="P556" s="251"/>
      <c r="Q556" s="206" t="s">
        <v>383</v>
      </c>
      <c r="R556" s="168" t="s">
        <v>337</v>
      </c>
      <c r="S556" s="251"/>
      <c r="T556" s="251"/>
      <c r="U556" s="251"/>
      <c r="V556" s="251"/>
      <c r="W556" s="251"/>
      <c r="X556" s="252"/>
      <c r="Y556" s="154"/>
      <c r="Z556" s="147"/>
      <c r="AA556" s="147"/>
      <c r="AB556" s="148"/>
      <c r="AC556" s="732"/>
      <c r="AD556" s="732"/>
      <c r="AE556" s="732"/>
      <c r="AF556" s="732"/>
      <c r="AI556" s="109" t="str">
        <f>"2A:"&amp;IF(AND(I556="□",M556="□",Q556="□",I557="□",Q557="□"),"koriha_rryoho1_code:0:koriha_sryoho_code:0:koriha_gengo_code:0:riha_seisin_code:0:koriha_other_code:0",IF(I556="■","koriha_rryoho1_code:2","koriha_rryoho1_code:1")
&amp;IF(M556="■",":koriha_sryoho_code:2",":koriha_sryoho_code:1")
&amp;IF(Q556="■",":koriha_gengo_code:2",":koriha_gengo_code:1")
&amp;IF(I557="■",":riha_seisin_code:2",":riha_seisin_code:1")
&amp;IF(Q557="■",":koriha_other_code:2",":koriha_other_code:1"))</f>
        <v>2A:koriha_rryoho1_code:0:koriha_sryoho_code:0:koriha_gengo_code:0:riha_seisin_code:0:koriha_other_code:0</v>
      </c>
    </row>
    <row r="557" spans="1:35" s="109" customFormat="1" ht="18.75" customHeight="1" x14ac:dyDescent="0.2">
      <c r="A557" s="260"/>
      <c r="B557" s="261"/>
      <c r="C557" s="140"/>
      <c r="D557" s="141"/>
      <c r="E557" s="128"/>
      <c r="F557" s="142"/>
      <c r="G557" s="128"/>
      <c r="H557" s="742"/>
      <c r="I557" s="150" t="s">
        <v>383</v>
      </c>
      <c r="J557" s="169" t="s">
        <v>338</v>
      </c>
      <c r="K557" s="152"/>
      <c r="L557" s="152"/>
      <c r="M557" s="152"/>
      <c r="N557" s="152"/>
      <c r="O557" s="152"/>
      <c r="P557" s="152"/>
      <c r="Q557" s="203" t="s">
        <v>383</v>
      </c>
      <c r="R557" s="169" t="s">
        <v>339</v>
      </c>
      <c r="S557" s="151"/>
      <c r="T557" s="152"/>
      <c r="U557" s="152"/>
      <c r="V557" s="152"/>
      <c r="W557" s="152"/>
      <c r="X557" s="153"/>
      <c r="Y557" s="154"/>
      <c r="Z557" s="147"/>
      <c r="AA557" s="147"/>
      <c r="AB557" s="148"/>
      <c r="AC557" s="732"/>
      <c r="AD557" s="732"/>
      <c r="AE557" s="732"/>
      <c r="AF557" s="732"/>
    </row>
    <row r="558" spans="1:35" s="109" customFormat="1" ht="18.75" customHeight="1" x14ac:dyDescent="0.2">
      <c r="A558" s="260"/>
      <c r="B558" s="261"/>
      <c r="C558" s="140"/>
      <c r="D558" s="141"/>
      <c r="E558" s="128"/>
      <c r="F558" s="142"/>
      <c r="G558" s="128"/>
      <c r="H558" s="250" t="s">
        <v>442</v>
      </c>
      <c r="I558" s="156" t="s">
        <v>383</v>
      </c>
      <c r="J558" s="157" t="s">
        <v>250</v>
      </c>
      <c r="K558" s="157"/>
      <c r="L558" s="160" t="s">
        <v>383</v>
      </c>
      <c r="M558" s="157" t="s">
        <v>251</v>
      </c>
      <c r="N558" s="157"/>
      <c r="O558" s="160" t="s">
        <v>383</v>
      </c>
      <c r="P558" s="157" t="s">
        <v>252</v>
      </c>
      <c r="Q558" s="162"/>
      <c r="R558" s="162"/>
      <c r="S558" s="162"/>
      <c r="T558" s="162"/>
      <c r="U558" s="251"/>
      <c r="V558" s="251"/>
      <c r="W558" s="251"/>
      <c r="X558" s="252"/>
      <c r="Y558" s="154"/>
      <c r="Z558" s="147"/>
      <c r="AA558" s="147"/>
      <c r="AB558" s="148"/>
      <c r="AC558" s="732"/>
      <c r="AD558" s="732"/>
      <c r="AE558" s="732"/>
      <c r="AF558" s="732"/>
      <c r="AI558" s="109" t="str">
        <f>"2A:field225:" &amp; IF(I558="■",1,IF(L558="■",2,IF(O558="■",3,0)))</f>
        <v>2A:field225:0</v>
      </c>
    </row>
    <row r="559" spans="1:35" s="109" customFormat="1" ht="18.75" customHeight="1" x14ac:dyDescent="0.2">
      <c r="A559" s="260"/>
      <c r="B559" s="261"/>
      <c r="C559" s="140"/>
      <c r="D559" s="141"/>
      <c r="E559" s="128"/>
      <c r="F559" s="142"/>
      <c r="G559" s="128"/>
      <c r="H559" s="164" t="s">
        <v>118</v>
      </c>
      <c r="I559" s="156" t="s">
        <v>383</v>
      </c>
      <c r="J559" s="157" t="s">
        <v>250</v>
      </c>
      <c r="K559" s="157"/>
      <c r="L559" s="160" t="s">
        <v>383</v>
      </c>
      <c r="M559" s="157" t="s">
        <v>258</v>
      </c>
      <c r="N559" s="157"/>
      <c r="O559" s="160" t="s">
        <v>383</v>
      </c>
      <c r="P559" s="157" t="s">
        <v>259</v>
      </c>
      <c r="Q559" s="207"/>
      <c r="R559" s="160" t="s">
        <v>383</v>
      </c>
      <c r="S559" s="157" t="s">
        <v>283</v>
      </c>
      <c r="T559" s="207"/>
      <c r="U559" s="207"/>
      <c r="V559" s="207"/>
      <c r="W559" s="207"/>
      <c r="X559" s="208"/>
      <c r="Y559" s="154"/>
      <c r="Z559" s="147"/>
      <c r="AA559" s="147"/>
      <c r="AB559" s="148"/>
      <c r="AC559" s="732"/>
      <c r="AD559" s="732"/>
      <c r="AE559" s="732"/>
      <c r="AF559" s="732"/>
      <c r="AI559" s="109" t="str">
        <f>"2A:serteikyo_kyoka_code:" &amp; IF(I559="■",1,IF(L559="■",6,IF(O559="■",5,IF(R559="■",7,0))))</f>
        <v>2A:serteikyo_kyoka_code:0</v>
      </c>
    </row>
    <row r="560" spans="1:35" s="109" customFormat="1" ht="18.75" customHeight="1" x14ac:dyDescent="0.2">
      <c r="A560" s="139"/>
      <c r="B560" s="670"/>
      <c r="C560" s="140"/>
      <c r="D560" s="141"/>
      <c r="E560" s="143"/>
      <c r="F560" s="141"/>
      <c r="G560" s="128"/>
      <c r="H560" s="713" t="s">
        <v>801</v>
      </c>
      <c r="I560" s="745" t="s">
        <v>383</v>
      </c>
      <c r="J560" s="746" t="s">
        <v>250</v>
      </c>
      <c r="K560" s="746"/>
      <c r="L560" s="747" t="s">
        <v>383</v>
      </c>
      <c r="M560" s="746" t="s">
        <v>267</v>
      </c>
      <c r="N560" s="746"/>
      <c r="O560" s="375"/>
      <c r="P560" s="375"/>
      <c r="Q560" s="375"/>
      <c r="R560" s="375"/>
      <c r="S560" s="375"/>
      <c r="T560" s="375"/>
      <c r="U560" s="375"/>
      <c r="V560" s="375"/>
      <c r="W560" s="375"/>
      <c r="X560" s="441"/>
      <c r="Y560" s="154"/>
      <c r="Z560" s="147"/>
      <c r="AA560" s="147"/>
      <c r="AB560" s="148"/>
      <c r="AC560" s="732"/>
      <c r="AD560" s="732"/>
      <c r="AE560" s="732"/>
      <c r="AF560" s="732"/>
      <c r="AI560" s="109" t="str">
        <f>"23:field221:" &amp; IF(I560="■",1,IF(L560="■",2,0))</f>
        <v>23:field221:0</v>
      </c>
    </row>
    <row r="561" spans="1:36" s="109" customFormat="1" ht="18.75" customHeight="1" x14ac:dyDescent="0.2">
      <c r="A561" s="139"/>
      <c r="B561" s="670"/>
      <c r="C561" s="140"/>
      <c r="D561" s="141"/>
      <c r="E561" s="143"/>
      <c r="F561" s="141"/>
      <c r="G561" s="128"/>
      <c r="H561" s="737"/>
      <c r="I561" s="745"/>
      <c r="J561" s="746"/>
      <c r="K561" s="746"/>
      <c r="L561" s="747"/>
      <c r="M561" s="746"/>
      <c r="N561" s="746"/>
      <c r="O561" s="381"/>
      <c r="P561" s="381"/>
      <c r="Q561" s="381"/>
      <c r="R561" s="381"/>
      <c r="S561" s="381"/>
      <c r="T561" s="381"/>
      <c r="U561" s="381"/>
      <c r="V561" s="381"/>
      <c r="W561" s="381"/>
      <c r="X561" s="442"/>
      <c r="Y561" s="154"/>
      <c r="Z561" s="147"/>
      <c r="AA561" s="147"/>
      <c r="AB561" s="148"/>
      <c r="AC561" s="732"/>
      <c r="AD561" s="732"/>
      <c r="AE561" s="732"/>
      <c r="AF561" s="732"/>
    </row>
    <row r="562" spans="1:36" s="621" customFormat="1" ht="18.75" customHeight="1" x14ac:dyDescent="0.2">
      <c r="A562" s="139"/>
      <c r="B562" s="670"/>
      <c r="C562" s="140"/>
      <c r="D562" s="141"/>
      <c r="E562" s="143"/>
      <c r="F562" s="142"/>
      <c r="G562" s="128"/>
      <c r="H562" s="713" t="s">
        <v>790</v>
      </c>
      <c r="I562" s="642" t="s">
        <v>383</v>
      </c>
      <c r="J562" s="616" t="s">
        <v>627</v>
      </c>
      <c r="K562" s="616"/>
      <c r="L562" s="615"/>
      <c r="M562" s="644" t="s">
        <v>383</v>
      </c>
      <c r="N562" s="616" t="s">
        <v>791</v>
      </c>
      <c r="O562" s="617"/>
      <c r="P562" s="615"/>
      <c r="Q562" s="644" t="s">
        <v>383</v>
      </c>
      <c r="R562" s="618" t="s">
        <v>802</v>
      </c>
      <c r="S562" s="615"/>
      <c r="T562" s="615"/>
      <c r="U562" s="615"/>
      <c r="V562" s="618"/>
      <c r="W562" s="619"/>
      <c r="X562" s="620"/>
      <c r="Y562" s="154"/>
      <c r="Z562" s="147"/>
      <c r="AA562" s="147"/>
      <c r="AB562" s="148"/>
      <c r="AC562" s="732"/>
      <c r="AD562" s="732"/>
      <c r="AE562" s="732"/>
      <c r="AF562" s="732"/>
    </row>
    <row r="563" spans="1:36" s="621" customFormat="1" ht="18.75" customHeight="1" x14ac:dyDescent="0.2">
      <c r="A563" s="139"/>
      <c r="B563" s="670"/>
      <c r="C563" s="140"/>
      <c r="D563" s="141"/>
      <c r="E563" s="143"/>
      <c r="F563" s="142"/>
      <c r="G563" s="128"/>
      <c r="H563" s="714"/>
      <c r="I563" s="643" t="s">
        <v>383</v>
      </c>
      <c r="J563" s="623" t="s">
        <v>803</v>
      </c>
      <c r="K563" s="623"/>
      <c r="L563" s="622"/>
      <c r="M563" s="211" t="s">
        <v>383</v>
      </c>
      <c r="N563" s="623" t="s">
        <v>804</v>
      </c>
      <c r="O563" s="624"/>
      <c r="P563" s="622"/>
      <c r="Q563" s="211" t="s">
        <v>383</v>
      </c>
      <c r="R563" s="623" t="s">
        <v>795</v>
      </c>
      <c r="S563" s="622"/>
      <c r="T563" s="623"/>
      <c r="U563" s="211" t="s">
        <v>383</v>
      </c>
      <c r="V563" s="623" t="s">
        <v>796</v>
      </c>
      <c r="W563" s="625"/>
      <c r="X563" s="626"/>
      <c r="Y563" s="154"/>
      <c r="Z563" s="147"/>
      <c r="AA563" s="147"/>
      <c r="AB563" s="148"/>
      <c r="AC563" s="732"/>
      <c r="AD563" s="732"/>
      <c r="AE563" s="732"/>
      <c r="AF563" s="732"/>
    </row>
    <row r="564" spans="1:36" s="109" customFormat="1" ht="18.75" customHeight="1" x14ac:dyDescent="0.2">
      <c r="A564" s="258"/>
      <c r="B564" s="259"/>
      <c r="C564" s="130"/>
      <c r="D564" s="131"/>
      <c r="E564" s="121"/>
      <c r="F564" s="132"/>
      <c r="G564" s="121"/>
      <c r="H564" s="740" t="s">
        <v>97</v>
      </c>
      <c r="I564" s="412" t="s">
        <v>383</v>
      </c>
      <c r="J564" s="413" t="s">
        <v>300</v>
      </c>
      <c r="K564" s="414"/>
      <c r="L564" s="415"/>
      <c r="M564" s="416" t="s">
        <v>383</v>
      </c>
      <c r="N564" s="413" t="s">
        <v>328</v>
      </c>
      <c r="O564" s="417"/>
      <c r="P564" s="417"/>
      <c r="Q564" s="416" t="s">
        <v>383</v>
      </c>
      <c r="R564" s="413" t="s">
        <v>329</v>
      </c>
      <c r="S564" s="417"/>
      <c r="T564" s="417"/>
      <c r="U564" s="416" t="s">
        <v>383</v>
      </c>
      <c r="V564" s="413" t="s">
        <v>330</v>
      </c>
      <c r="W564" s="417"/>
      <c r="X564" s="418"/>
      <c r="Y564" s="416" t="s">
        <v>383</v>
      </c>
      <c r="Z564" s="119" t="s">
        <v>249</v>
      </c>
      <c r="AA564" s="119"/>
      <c r="AB564" s="137"/>
      <c r="AC564" s="730"/>
      <c r="AD564" s="730"/>
      <c r="AE564" s="730"/>
      <c r="AF564" s="730"/>
      <c r="AG564" s="109" t="str">
        <f>"ser_code = '" &amp; IF(A574="■","2A","") &amp; "'"</f>
        <v>ser_code = ''</v>
      </c>
      <c r="AH564" s="109" t="str">
        <f>"2A:jininkbn_code:"&amp;IF(F574="■",1,IF(F575="■",2,0))</f>
        <v>2A:jininkbn_code:0</v>
      </c>
      <c r="AI564" s="109" t="str">
        <f>"2A:yakan_kinmu_code:" &amp; IF(I564="■",1,IF(M564="■",2,IF(Q564="■",3,IF(U564="■",7,IF(I565="■",5,IF(M565="■",6,0))))))</f>
        <v>2A:yakan_kinmu_code:0</v>
      </c>
      <c r="AJ564" s="109" t="str">
        <f>"2A:field203:" &amp; IF(Y564="■",1,IF(Y565="■",2,0))</f>
        <v>2A:field203:0</v>
      </c>
    </row>
    <row r="565" spans="1:36" s="109" customFormat="1" ht="18.75" customHeight="1" x14ac:dyDescent="0.2">
      <c r="A565" s="260"/>
      <c r="B565" s="261"/>
      <c r="C565" s="140"/>
      <c r="D565" s="141"/>
      <c r="E565" s="128"/>
      <c r="F565" s="142"/>
      <c r="G565" s="128"/>
      <c r="H565" s="739"/>
      <c r="I565" s="380" t="s">
        <v>383</v>
      </c>
      <c r="J565" s="381" t="s">
        <v>331</v>
      </c>
      <c r="K565" s="419"/>
      <c r="L565" s="382"/>
      <c r="M565" s="383" t="s">
        <v>383</v>
      </c>
      <c r="N565" s="381" t="s">
        <v>301</v>
      </c>
      <c r="O565" s="384"/>
      <c r="P565" s="384"/>
      <c r="Q565" s="384"/>
      <c r="R565" s="384"/>
      <c r="S565" s="384"/>
      <c r="T565" s="384"/>
      <c r="U565" s="384"/>
      <c r="V565" s="384"/>
      <c r="W565" s="384"/>
      <c r="X565" s="385"/>
      <c r="Y565" s="443" t="s">
        <v>383</v>
      </c>
      <c r="Z565" s="126" t="s">
        <v>255</v>
      </c>
      <c r="AA565" s="147"/>
      <c r="AB565" s="148"/>
      <c r="AC565" s="731"/>
      <c r="AD565" s="731"/>
      <c r="AE565" s="731"/>
      <c r="AF565" s="731"/>
      <c r="AG565" s="109" t="str">
        <f>"2A:sisetukbn_code:"&amp;IF(D574="■","6",0)</f>
        <v>2A:sisetukbn_code:0</v>
      </c>
    </row>
    <row r="566" spans="1:36" s="109" customFormat="1" ht="18.75" customHeight="1" x14ac:dyDescent="0.2">
      <c r="A566" s="260"/>
      <c r="B566" s="261"/>
      <c r="C566" s="140"/>
      <c r="D566" s="141"/>
      <c r="E566" s="128"/>
      <c r="F566" s="142"/>
      <c r="G566" s="128"/>
      <c r="H566" s="738" t="s">
        <v>93</v>
      </c>
      <c r="I566" s="374" t="s">
        <v>383</v>
      </c>
      <c r="J566" s="375" t="s">
        <v>250</v>
      </c>
      <c r="K566" s="375"/>
      <c r="L566" s="376"/>
      <c r="M566" s="377" t="s">
        <v>383</v>
      </c>
      <c r="N566" s="375" t="s">
        <v>289</v>
      </c>
      <c r="O566" s="375"/>
      <c r="P566" s="376"/>
      <c r="Q566" s="377" t="s">
        <v>383</v>
      </c>
      <c r="R566" s="378" t="s">
        <v>372</v>
      </c>
      <c r="S566" s="378"/>
      <c r="T566" s="378"/>
      <c r="U566" s="410"/>
      <c r="V566" s="376"/>
      <c r="W566" s="378"/>
      <c r="X566" s="411"/>
      <c r="Y566" s="444"/>
      <c r="Z566" s="147"/>
      <c r="AA566" s="147"/>
      <c r="AB566" s="148"/>
      <c r="AC566" s="732"/>
      <c r="AD566" s="732"/>
      <c r="AE566" s="732"/>
      <c r="AF566" s="732"/>
      <c r="AI566" s="109" t="str">
        <f>"2A:"&amp;IF(AND(I566="□",M566="□",Q566="□",I567="□",M567="□"),"ketu_doctor_code:0",IF(I566="■","ketu_doctor_code:1:field197:1:ketu_kangos_code:1:ketu_kshoku_code:1",IF(M566="■","ketu_doctor_code:2","ketu_doctor_code:1")
&amp;IF(Q566="■",":field197:2",":field197:1")
&amp;IF(I567="■",":ketu_kangos_code:2",":ketu_kangos_code:1")
&amp;IF(M567="■",":ketu_kshoku_code:2",":ketu_kshoku_code:1")))</f>
        <v>2A:ketu_doctor_code:0</v>
      </c>
    </row>
    <row r="567" spans="1:36" s="109" customFormat="1" ht="18.75" customHeight="1" x14ac:dyDescent="0.2">
      <c r="A567" s="260"/>
      <c r="B567" s="261"/>
      <c r="C567" s="140"/>
      <c r="D567" s="141"/>
      <c r="E567" s="128"/>
      <c r="F567" s="142"/>
      <c r="G567" s="128"/>
      <c r="H567" s="739"/>
      <c r="I567" s="380" t="s">
        <v>383</v>
      </c>
      <c r="J567" s="384" t="s">
        <v>373</v>
      </c>
      <c r="K567" s="384"/>
      <c r="L567" s="384"/>
      <c r="M567" s="383" t="s">
        <v>383</v>
      </c>
      <c r="N567" s="384" t="s">
        <v>374</v>
      </c>
      <c r="O567" s="382"/>
      <c r="P567" s="384"/>
      <c r="Q567" s="384"/>
      <c r="R567" s="382"/>
      <c r="S567" s="384"/>
      <c r="T567" s="384"/>
      <c r="U567" s="436"/>
      <c r="V567" s="382"/>
      <c r="W567" s="384"/>
      <c r="X567" s="437"/>
      <c r="Y567" s="444"/>
      <c r="Z567" s="147"/>
      <c r="AA567" s="147"/>
      <c r="AB567" s="148"/>
      <c r="AC567" s="732"/>
      <c r="AD567" s="732"/>
      <c r="AE567" s="732"/>
      <c r="AF567" s="732"/>
    </row>
    <row r="568" spans="1:36" s="109" customFormat="1" ht="18.75" customHeight="1" x14ac:dyDescent="0.2">
      <c r="A568" s="260"/>
      <c r="B568" s="261"/>
      <c r="C568" s="140"/>
      <c r="D568" s="141"/>
      <c r="E568" s="128"/>
      <c r="F568" s="142"/>
      <c r="G568" s="128"/>
      <c r="H568" s="364" t="s">
        <v>98</v>
      </c>
      <c r="I568" s="349" t="s">
        <v>383</v>
      </c>
      <c r="J568" s="350" t="s">
        <v>265</v>
      </c>
      <c r="K568" s="351"/>
      <c r="L568" s="352"/>
      <c r="M568" s="353" t="s">
        <v>383</v>
      </c>
      <c r="N568" s="350" t="s">
        <v>266</v>
      </c>
      <c r="O568" s="355"/>
      <c r="P568" s="355"/>
      <c r="Q568" s="355"/>
      <c r="R568" s="355"/>
      <c r="S568" s="355"/>
      <c r="T568" s="355"/>
      <c r="U568" s="355"/>
      <c r="V568" s="355"/>
      <c r="W568" s="355"/>
      <c r="X568" s="356"/>
      <c r="Y568" s="444"/>
      <c r="Z568" s="147"/>
      <c r="AA568" s="147"/>
      <c r="AB568" s="148"/>
      <c r="AC568" s="732"/>
      <c r="AD568" s="732"/>
      <c r="AE568" s="732"/>
      <c r="AF568" s="732"/>
      <c r="AI568" s="109" t="str">
        <f>"2A:unitcare_code:" &amp; IF(I568="■",1,IF(M568="■",2,0))</f>
        <v>2A:unitcare_code:0</v>
      </c>
    </row>
    <row r="569" spans="1:36" s="109" customFormat="1" ht="18.75" customHeight="1" x14ac:dyDescent="0.2">
      <c r="A569" s="139"/>
      <c r="B569" s="123"/>
      <c r="C569" s="248"/>
      <c r="D569" s="249"/>
      <c r="E569" s="128"/>
      <c r="F569" s="142"/>
      <c r="G569" s="143"/>
      <c r="H569" s="364" t="s">
        <v>107</v>
      </c>
      <c r="I569" s="349" t="s">
        <v>383</v>
      </c>
      <c r="J569" s="350" t="s">
        <v>395</v>
      </c>
      <c r="K569" s="351"/>
      <c r="L569" s="352"/>
      <c r="M569" s="353" t="s">
        <v>383</v>
      </c>
      <c r="N569" s="350" t="s">
        <v>396</v>
      </c>
      <c r="O569" s="351"/>
      <c r="P569" s="351"/>
      <c r="Q569" s="351"/>
      <c r="R569" s="351"/>
      <c r="S569" s="351"/>
      <c r="T569" s="351"/>
      <c r="U569" s="351"/>
      <c r="V569" s="351"/>
      <c r="W569" s="351"/>
      <c r="X569" s="365"/>
      <c r="Y569" s="444"/>
      <c r="Z569" s="147"/>
      <c r="AA569" s="147"/>
      <c r="AB569" s="148"/>
      <c r="AC569" s="732"/>
      <c r="AD569" s="732"/>
      <c r="AE569" s="732"/>
      <c r="AF569" s="732"/>
      <c r="AI569" s="109" t="str">
        <f>"2A:sintaikousoku_code:" &amp; IF(I569="■",1,IF(M569="■",2,0))</f>
        <v>2A:sintaikousoku_code:0</v>
      </c>
    </row>
    <row r="570" spans="1:36" s="109" customFormat="1" ht="19.5" customHeight="1" x14ac:dyDescent="0.2">
      <c r="A570" s="139"/>
      <c r="B570" s="123"/>
      <c r="C570" s="140"/>
      <c r="D570" s="141"/>
      <c r="E570" s="128"/>
      <c r="F570" s="142"/>
      <c r="G570" s="143"/>
      <c r="H570" s="155" t="s">
        <v>430</v>
      </c>
      <c r="I570" s="156" t="s">
        <v>383</v>
      </c>
      <c r="J570" s="157" t="s">
        <v>395</v>
      </c>
      <c r="K570" s="158"/>
      <c r="L570" s="159"/>
      <c r="M570" s="160" t="s">
        <v>383</v>
      </c>
      <c r="N570" s="157" t="s">
        <v>431</v>
      </c>
      <c r="O570" s="161"/>
      <c r="P570" s="157"/>
      <c r="Q570" s="162"/>
      <c r="R570" s="162"/>
      <c r="S570" s="162"/>
      <c r="T570" s="162"/>
      <c r="U570" s="162"/>
      <c r="V570" s="162"/>
      <c r="W570" s="162"/>
      <c r="X570" s="163"/>
      <c r="Y570" s="147"/>
      <c r="Z570" s="147"/>
      <c r="AA570" s="147"/>
      <c r="AB570" s="148"/>
      <c r="AC570" s="732"/>
      <c r="AD570" s="732"/>
      <c r="AE570" s="732"/>
      <c r="AF570" s="732"/>
      <c r="AI570" s="109" t="str">
        <f>"2A:field223:" &amp; IF(I570="■",1,IF(M570="■",2,0))</f>
        <v>2A:field223:0</v>
      </c>
    </row>
    <row r="571" spans="1:36" s="109" customFormat="1" ht="19.5" customHeight="1" x14ac:dyDescent="0.2">
      <c r="A571" s="139"/>
      <c r="B571" s="123"/>
      <c r="C571" s="140"/>
      <c r="D571" s="141"/>
      <c r="E571" s="128"/>
      <c r="F571" s="142"/>
      <c r="G571" s="143"/>
      <c r="H571" s="155" t="s">
        <v>448</v>
      </c>
      <c r="I571" s="156" t="s">
        <v>383</v>
      </c>
      <c r="J571" s="157" t="s">
        <v>395</v>
      </c>
      <c r="K571" s="158"/>
      <c r="L571" s="159"/>
      <c r="M571" s="160" t="s">
        <v>383</v>
      </c>
      <c r="N571" s="157" t="s">
        <v>431</v>
      </c>
      <c r="O571" s="161"/>
      <c r="P571" s="157"/>
      <c r="Q571" s="162"/>
      <c r="R571" s="162"/>
      <c r="S571" s="162"/>
      <c r="T571" s="162"/>
      <c r="U571" s="162"/>
      <c r="V571" s="162"/>
      <c r="W571" s="162"/>
      <c r="X571" s="163"/>
      <c r="Y571" s="147"/>
      <c r="Z571" s="147"/>
      <c r="AA571" s="147"/>
      <c r="AB571" s="148"/>
      <c r="AC571" s="732"/>
      <c r="AD571" s="732"/>
      <c r="AE571" s="732"/>
      <c r="AF571" s="732"/>
      <c r="AI571" s="109" t="str">
        <f>"2A:field232:" &amp; IF(I571="■",1,IF(M571="■",2,0))</f>
        <v>2A:field232:0</v>
      </c>
    </row>
    <row r="572" spans="1:36" s="109" customFormat="1" ht="18.75" customHeight="1" x14ac:dyDescent="0.2">
      <c r="A572" s="260"/>
      <c r="B572" s="261"/>
      <c r="C572" s="140"/>
      <c r="D572" s="141"/>
      <c r="E572" s="128"/>
      <c r="F572" s="142"/>
      <c r="G572" s="128"/>
      <c r="H572" s="242" t="s">
        <v>164</v>
      </c>
      <c r="I572" s="156" t="s">
        <v>383</v>
      </c>
      <c r="J572" s="157" t="s">
        <v>300</v>
      </c>
      <c r="K572" s="158"/>
      <c r="L572" s="159"/>
      <c r="M572" s="160" t="s">
        <v>383</v>
      </c>
      <c r="N572" s="157" t="s">
        <v>332</v>
      </c>
      <c r="O572" s="162"/>
      <c r="P572" s="162"/>
      <c r="Q572" s="162"/>
      <c r="R572" s="162"/>
      <c r="S572" s="162"/>
      <c r="T572" s="162"/>
      <c r="U572" s="162"/>
      <c r="V572" s="162"/>
      <c r="W572" s="162"/>
      <c r="X572" s="163"/>
      <c r="Y572" s="154"/>
      <c r="Z572" s="147"/>
      <c r="AA572" s="147"/>
      <c r="AB572" s="148"/>
      <c r="AC572" s="732"/>
      <c r="AD572" s="732"/>
      <c r="AE572" s="732"/>
      <c r="AF572" s="732"/>
      <c r="AI572" s="109" t="str">
        <f>"2A:field190:" &amp; IF(I572="■",1,IF(M572="■",2,0))</f>
        <v>2A:field190:0</v>
      </c>
    </row>
    <row r="573" spans="1:36" s="109" customFormat="1" ht="18.75" customHeight="1" x14ac:dyDescent="0.2">
      <c r="A573" s="260"/>
      <c r="B573" s="261"/>
      <c r="C573" s="140"/>
      <c r="D573" s="141"/>
      <c r="E573" s="128"/>
      <c r="F573" s="142"/>
      <c r="G573" s="128"/>
      <c r="H573" s="242" t="s">
        <v>165</v>
      </c>
      <c r="I573" s="156" t="s">
        <v>383</v>
      </c>
      <c r="J573" s="157" t="s">
        <v>300</v>
      </c>
      <c r="K573" s="158"/>
      <c r="L573" s="159"/>
      <c r="M573" s="160" t="s">
        <v>383</v>
      </c>
      <c r="N573" s="157" t="s">
        <v>332</v>
      </c>
      <c r="O573" s="162"/>
      <c r="P573" s="162"/>
      <c r="Q573" s="162"/>
      <c r="R573" s="162"/>
      <c r="S573" s="162"/>
      <c r="T573" s="162"/>
      <c r="U573" s="162"/>
      <c r="V573" s="162"/>
      <c r="W573" s="162"/>
      <c r="X573" s="163"/>
      <c r="Y573" s="154"/>
      <c r="Z573" s="147"/>
      <c r="AA573" s="147"/>
      <c r="AB573" s="148"/>
      <c r="AC573" s="732"/>
      <c r="AD573" s="732"/>
      <c r="AE573" s="732"/>
      <c r="AF573" s="732"/>
      <c r="AI573" s="109" t="str">
        <f>"2A:field191:" &amp; IF(I573="■",1,IF(M573="■",2,0))</f>
        <v>2A:field191:0</v>
      </c>
    </row>
    <row r="574" spans="1:36" s="109" customFormat="1" ht="18.75" customHeight="1" x14ac:dyDescent="0.2">
      <c r="A574" s="125" t="s">
        <v>383</v>
      </c>
      <c r="B574" s="261" t="s">
        <v>220</v>
      </c>
      <c r="C574" s="140" t="s">
        <v>193</v>
      </c>
      <c r="D574" s="118" t="s">
        <v>383</v>
      </c>
      <c r="E574" s="128" t="s">
        <v>382</v>
      </c>
      <c r="F574" s="118" t="s">
        <v>383</v>
      </c>
      <c r="G574" s="128" t="s">
        <v>379</v>
      </c>
      <c r="H574" s="242" t="s">
        <v>110</v>
      </c>
      <c r="I574" s="156" t="s">
        <v>383</v>
      </c>
      <c r="J574" s="157" t="s">
        <v>250</v>
      </c>
      <c r="K574" s="158"/>
      <c r="L574" s="160" t="s">
        <v>383</v>
      </c>
      <c r="M574" s="157" t="s">
        <v>267</v>
      </c>
      <c r="N574" s="162"/>
      <c r="O574" s="162"/>
      <c r="P574" s="162"/>
      <c r="Q574" s="162"/>
      <c r="R574" s="162"/>
      <c r="S574" s="162"/>
      <c r="T574" s="162"/>
      <c r="U574" s="162"/>
      <c r="V574" s="162"/>
      <c r="W574" s="162"/>
      <c r="X574" s="163"/>
      <c r="Y574" s="154"/>
      <c r="Z574" s="147"/>
      <c r="AA574" s="147"/>
      <c r="AB574" s="148"/>
      <c r="AC574" s="732"/>
      <c r="AD574" s="732"/>
      <c r="AE574" s="732"/>
      <c r="AF574" s="732"/>
      <c r="AI574" s="109" t="str">
        <f>"2A:jyakuninti_uke_code:" &amp; IF(I574="■",1,IF(L574="■",2,0))</f>
        <v>2A:jyakuninti_uke_code:0</v>
      </c>
    </row>
    <row r="575" spans="1:36" s="109" customFormat="1" ht="18.75" customHeight="1" x14ac:dyDescent="0.2">
      <c r="A575" s="260"/>
      <c r="B575" s="261"/>
      <c r="C575" s="140"/>
      <c r="D575" s="141"/>
      <c r="E575" s="128"/>
      <c r="F575" s="118" t="s">
        <v>383</v>
      </c>
      <c r="G575" s="128" t="s">
        <v>365</v>
      </c>
      <c r="H575" s="242" t="s">
        <v>95</v>
      </c>
      <c r="I575" s="156" t="s">
        <v>383</v>
      </c>
      <c r="J575" s="157" t="s">
        <v>265</v>
      </c>
      <c r="K575" s="158"/>
      <c r="L575" s="159"/>
      <c r="M575" s="160" t="s">
        <v>383</v>
      </c>
      <c r="N575" s="157" t="s">
        <v>266</v>
      </c>
      <c r="O575" s="162"/>
      <c r="P575" s="162"/>
      <c r="Q575" s="162"/>
      <c r="R575" s="162"/>
      <c r="S575" s="162"/>
      <c r="T575" s="162"/>
      <c r="U575" s="162"/>
      <c r="V575" s="162"/>
      <c r="W575" s="162"/>
      <c r="X575" s="163"/>
      <c r="Y575" s="154"/>
      <c r="Z575" s="147"/>
      <c r="AA575" s="147"/>
      <c r="AB575" s="148"/>
      <c r="AC575" s="732"/>
      <c r="AD575" s="732"/>
      <c r="AE575" s="732"/>
      <c r="AF575" s="732"/>
      <c r="AI575" s="109" t="str">
        <f>"2A:sougei_code:" &amp; IF(I575="■",1,IF(M575="■",2,0))</f>
        <v>2A:sougei_code:0</v>
      </c>
    </row>
    <row r="576" spans="1:36" s="109" customFormat="1" ht="19.5" customHeight="1" x14ac:dyDescent="0.2">
      <c r="A576" s="260"/>
      <c r="B576" s="261"/>
      <c r="C576" s="140"/>
      <c r="D576" s="141"/>
      <c r="E576" s="128"/>
      <c r="F576" s="141"/>
      <c r="G576" s="128"/>
      <c r="H576" s="155" t="s">
        <v>433</v>
      </c>
      <c r="I576" s="156" t="s">
        <v>383</v>
      </c>
      <c r="J576" s="157" t="s">
        <v>250</v>
      </c>
      <c r="K576" s="157"/>
      <c r="L576" s="160" t="s">
        <v>383</v>
      </c>
      <c r="M576" s="157" t="s">
        <v>267</v>
      </c>
      <c r="N576" s="157"/>
      <c r="O576" s="162"/>
      <c r="P576" s="157"/>
      <c r="Q576" s="162"/>
      <c r="R576" s="162"/>
      <c r="S576" s="162"/>
      <c r="T576" s="162"/>
      <c r="U576" s="162"/>
      <c r="V576" s="162"/>
      <c r="W576" s="162"/>
      <c r="X576" s="163"/>
      <c r="Y576" s="147"/>
      <c r="Z576" s="147"/>
      <c r="AA576" s="147"/>
      <c r="AB576" s="148"/>
      <c r="AC576" s="732"/>
      <c r="AD576" s="732"/>
      <c r="AE576" s="732"/>
      <c r="AF576" s="732"/>
      <c r="AI576" s="109" t="str">
        <f>"2A:field224:" &amp; IF(I576="■",1,IF(L576="■",2,0))</f>
        <v>2A:field224:0</v>
      </c>
    </row>
    <row r="577" spans="1:37" s="109" customFormat="1" ht="18.75" customHeight="1" x14ac:dyDescent="0.2">
      <c r="A577" s="260"/>
      <c r="B577" s="261"/>
      <c r="C577" s="140"/>
      <c r="D577" s="141"/>
      <c r="E577" s="128"/>
      <c r="F577" s="141"/>
      <c r="G577" s="128"/>
      <c r="H577" s="242" t="s">
        <v>112</v>
      </c>
      <c r="I577" s="156" t="s">
        <v>383</v>
      </c>
      <c r="J577" s="157" t="s">
        <v>250</v>
      </c>
      <c r="K577" s="158"/>
      <c r="L577" s="160" t="s">
        <v>383</v>
      </c>
      <c r="M577" s="157" t="s">
        <v>267</v>
      </c>
      <c r="N577" s="162"/>
      <c r="O577" s="162"/>
      <c r="P577" s="162"/>
      <c r="Q577" s="162"/>
      <c r="R577" s="162"/>
      <c r="S577" s="162"/>
      <c r="T577" s="162"/>
      <c r="U577" s="162"/>
      <c r="V577" s="162"/>
      <c r="W577" s="162"/>
      <c r="X577" s="163"/>
      <c r="Y577" s="154"/>
      <c r="Z577" s="147"/>
      <c r="AA577" s="147"/>
      <c r="AB577" s="148"/>
      <c r="AC577" s="732"/>
      <c r="AD577" s="732"/>
      <c r="AE577" s="732"/>
      <c r="AF577" s="732"/>
      <c r="AI577" s="109" t="str">
        <f>"2A:ryouyoushoku_code:" &amp; IF(I577="■",1,IF(L577="■",2,0))</f>
        <v>2A:ryouyoushoku_code:0</v>
      </c>
    </row>
    <row r="578" spans="1:37" s="109" customFormat="1" ht="18.75" customHeight="1" x14ac:dyDescent="0.2">
      <c r="A578" s="260"/>
      <c r="B578" s="261"/>
      <c r="C578" s="140"/>
      <c r="D578" s="141"/>
      <c r="E578" s="128"/>
      <c r="F578" s="141"/>
      <c r="G578" s="128"/>
      <c r="H578" s="242" t="s">
        <v>116</v>
      </c>
      <c r="I578" s="156" t="s">
        <v>383</v>
      </c>
      <c r="J578" s="157" t="s">
        <v>250</v>
      </c>
      <c r="K578" s="157"/>
      <c r="L578" s="160" t="s">
        <v>383</v>
      </c>
      <c r="M578" s="157" t="s">
        <v>251</v>
      </c>
      <c r="N578" s="157"/>
      <c r="O578" s="160" t="s">
        <v>383</v>
      </c>
      <c r="P578" s="157" t="s">
        <v>252</v>
      </c>
      <c r="Q578" s="162"/>
      <c r="R578" s="162"/>
      <c r="S578" s="162"/>
      <c r="T578" s="162"/>
      <c r="U578" s="162"/>
      <c r="V578" s="162"/>
      <c r="W578" s="162"/>
      <c r="X578" s="163"/>
      <c r="Y578" s="154"/>
      <c r="Z578" s="147"/>
      <c r="AA578" s="147"/>
      <c r="AB578" s="148"/>
      <c r="AC578" s="732"/>
      <c r="AD578" s="732"/>
      <c r="AE578" s="732"/>
      <c r="AF578" s="732"/>
      <c r="AI578" s="109" t="str">
        <f>"2A:ninti_senmoncare_code:" &amp; IF(I578="■",1,IF(O578="■",3,IF(L578="■",2,0)))</f>
        <v>2A:ninti_senmoncare_code:0</v>
      </c>
    </row>
    <row r="579" spans="1:37" s="109" customFormat="1" ht="18.75" customHeight="1" x14ac:dyDescent="0.2">
      <c r="A579" s="260"/>
      <c r="B579" s="261"/>
      <c r="C579" s="140"/>
      <c r="D579" s="141"/>
      <c r="E579" s="128"/>
      <c r="F579" s="142"/>
      <c r="G579" s="128"/>
      <c r="H579" s="242" t="s">
        <v>221</v>
      </c>
      <c r="I579" s="156" t="s">
        <v>383</v>
      </c>
      <c r="J579" s="157" t="s">
        <v>250</v>
      </c>
      <c r="K579" s="157"/>
      <c r="L579" s="160" t="s">
        <v>383</v>
      </c>
      <c r="M579" s="157" t="s">
        <v>251</v>
      </c>
      <c r="N579" s="157"/>
      <c r="O579" s="160" t="s">
        <v>383</v>
      </c>
      <c r="P579" s="157" t="s">
        <v>252</v>
      </c>
      <c r="Q579" s="162"/>
      <c r="R579" s="162"/>
      <c r="S579" s="162"/>
      <c r="T579" s="162"/>
      <c r="U579" s="162"/>
      <c r="V579" s="162"/>
      <c r="W579" s="162"/>
      <c r="X579" s="163"/>
      <c r="Y579" s="154"/>
      <c r="Z579" s="147"/>
      <c r="AA579" s="147"/>
      <c r="AB579" s="148"/>
      <c r="AC579" s="732"/>
      <c r="AD579" s="732"/>
      <c r="AE579" s="732"/>
      <c r="AF579" s="732"/>
      <c r="AI579" s="109" t="str">
        <f>"2A:field164:" &amp; IF(I579="■",1,IF(L579="■",2,IF(O579="■",3,0)))</f>
        <v>2A:field164:0</v>
      </c>
    </row>
    <row r="580" spans="1:37" s="109" customFormat="1" ht="18.75" customHeight="1" x14ac:dyDescent="0.2">
      <c r="A580" s="260"/>
      <c r="B580" s="261"/>
      <c r="C580" s="140"/>
      <c r="D580" s="141"/>
      <c r="E580" s="128"/>
      <c r="F580" s="142"/>
      <c r="G580" s="128"/>
      <c r="H580" s="250" t="s">
        <v>442</v>
      </c>
      <c r="I580" s="156" t="s">
        <v>383</v>
      </c>
      <c r="J580" s="157" t="s">
        <v>250</v>
      </c>
      <c r="K580" s="157"/>
      <c r="L580" s="160" t="s">
        <v>383</v>
      </c>
      <c r="M580" s="157" t="s">
        <v>251</v>
      </c>
      <c r="N580" s="157"/>
      <c r="O580" s="160" t="s">
        <v>383</v>
      </c>
      <c r="P580" s="157" t="s">
        <v>252</v>
      </c>
      <c r="Q580" s="162"/>
      <c r="R580" s="162"/>
      <c r="S580" s="162"/>
      <c r="T580" s="162"/>
      <c r="U580" s="251"/>
      <c r="V580" s="251"/>
      <c r="W580" s="251"/>
      <c r="X580" s="252"/>
      <c r="Y580" s="154"/>
      <c r="Z580" s="147"/>
      <c r="AA580" s="147"/>
      <c r="AB580" s="148"/>
      <c r="AC580" s="732"/>
      <c r="AD580" s="732"/>
      <c r="AE580" s="732"/>
      <c r="AF580" s="732"/>
      <c r="AI580" s="109" t="str">
        <f>"2A:field225:" &amp; IF(I580="■",1,IF(L580="■",2,IF(O580="■",3,0)))</f>
        <v>2A:field225:0</v>
      </c>
    </row>
    <row r="581" spans="1:37" s="109" customFormat="1" ht="18.75" customHeight="1" x14ac:dyDescent="0.2">
      <c r="A581" s="260"/>
      <c r="B581" s="261"/>
      <c r="C581" s="140"/>
      <c r="D581" s="141"/>
      <c r="E581" s="128"/>
      <c r="F581" s="142"/>
      <c r="G581" s="128"/>
      <c r="H581" s="164" t="s">
        <v>118</v>
      </c>
      <c r="I581" s="156" t="s">
        <v>383</v>
      </c>
      <c r="J581" s="157" t="s">
        <v>250</v>
      </c>
      <c r="K581" s="157"/>
      <c r="L581" s="160" t="s">
        <v>383</v>
      </c>
      <c r="M581" s="157" t="s">
        <v>258</v>
      </c>
      <c r="N581" s="157"/>
      <c r="O581" s="160" t="s">
        <v>383</v>
      </c>
      <c r="P581" s="157" t="s">
        <v>259</v>
      </c>
      <c r="Q581" s="207"/>
      <c r="R581" s="160" t="s">
        <v>383</v>
      </c>
      <c r="S581" s="157" t="s">
        <v>283</v>
      </c>
      <c r="T581" s="207"/>
      <c r="U581" s="207"/>
      <c r="V581" s="207"/>
      <c r="W581" s="207"/>
      <c r="X581" s="208"/>
      <c r="Y581" s="154"/>
      <c r="Z581" s="147"/>
      <c r="AA581" s="147"/>
      <c r="AB581" s="148"/>
      <c r="AC581" s="732"/>
      <c r="AD581" s="732"/>
      <c r="AE581" s="732"/>
      <c r="AF581" s="732"/>
      <c r="AI581" s="109" t="str">
        <f>"2A:serteikyo_kyoka_code:" &amp; IF(I581="■",1,IF(L581="■",6,IF(O581="■",5,IF(R581="■",7,0))))</f>
        <v>2A:serteikyo_kyoka_code:0</v>
      </c>
    </row>
    <row r="582" spans="1:37" s="109" customFormat="1" ht="18.75" customHeight="1" x14ac:dyDescent="0.2">
      <c r="A582" s="139"/>
      <c r="B582" s="670"/>
      <c r="C582" s="140"/>
      <c r="D582" s="141"/>
      <c r="E582" s="143"/>
      <c r="F582" s="141"/>
      <c r="G582" s="128"/>
      <c r="H582" s="713" t="s">
        <v>801</v>
      </c>
      <c r="I582" s="745" t="s">
        <v>383</v>
      </c>
      <c r="J582" s="746" t="s">
        <v>250</v>
      </c>
      <c r="K582" s="746"/>
      <c r="L582" s="747" t="s">
        <v>383</v>
      </c>
      <c r="M582" s="746" t="s">
        <v>267</v>
      </c>
      <c r="N582" s="746"/>
      <c r="O582" s="375"/>
      <c r="P582" s="375"/>
      <c r="Q582" s="375"/>
      <c r="R582" s="375"/>
      <c r="S582" s="375"/>
      <c r="T582" s="375"/>
      <c r="U582" s="375"/>
      <c r="V582" s="375"/>
      <c r="W582" s="375"/>
      <c r="X582" s="441"/>
      <c r="Y582" s="154"/>
      <c r="Z582" s="147"/>
      <c r="AA582" s="147"/>
      <c r="AB582" s="148"/>
      <c r="AC582" s="732"/>
      <c r="AD582" s="732"/>
      <c r="AE582" s="732"/>
      <c r="AF582" s="732"/>
      <c r="AI582" s="109" t="str">
        <f>"23:field221:" &amp; IF(I582="■",1,IF(L582="■",2,0))</f>
        <v>23:field221:0</v>
      </c>
    </row>
    <row r="583" spans="1:37" s="109" customFormat="1" ht="18.75" customHeight="1" x14ac:dyDescent="0.2">
      <c r="A583" s="139"/>
      <c r="B583" s="670"/>
      <c r="C583" s="140"/>
      <c r="D583" s="141"/>
      <c r="E583" s="143"/>
      <c r="F583" s="141"/>
      <c r="G583" s="128"/>
      <c r="H583" s="737"/>
      <c r="I583" s="745"/>
      <c r="J583" s="746"/>
      <c r="K583" s="746"/>
      <c r="L583" s="747"/>
      <c r="M583" s="746"/>
      <c r="N583" s="746"/>
      <c r="O583" s="381"/>
      <c r="P583" s="381"/>
      <c r="Q583" s="381"/>
      <c r="R583" s="381"/>
      <c r="S583" s="381"/>
      <c r="T583" s="381"/>
      <c r="U583" s="381"/>
      <c r="V583" s="381"/>
      <c r="W583" s="381"/>
      <c r="X583" s="442"/>
      <c r="Y583" s="154"/>
      <c r="Z583" s="147"/>
      <c r="AA583" s="147"/>
      <c r="AB583" s="148"/>
      <c r="AC583" s="732"/>
      <c r="AD583" s="732"/>
      <c r="AE583" s="732"/>
      <c r="AF583" s="732"/>
    </row>
    <row r="584" spans="1:37" s="621" customFormat="1" ht="18.75" customHeight="1" x14ac:dyDescent="0.2">
      <c r="A584" s="139"/>
      <c r="B584" s="670"/>
      <c r="C584" s="140"/>
      <c r="D584" s="141"/>
      <c r="E584" s="143"/>
      <c r="F584" s="142"/>
      <c r="G584" s="128"/>
      <c r="H584" s="713" t="s">
        <v>790</v>
      </c>
      <c r="I584" s="642" t="s">
        <v>383</v>
      </c>
      <c r="J584" s="616" t="s">
        <v>627</v>
      </c>
      <c r="K584" s="616"/>
      <c r="L584" s="615"/>
      <c r="M584" s="644" t="s">
        <v>383</v>
      </c>
      <c r="N584" s="616" t="s">
        <v>791</v>
      </c>
      <c r="O584" s="617"/>
      <c r="P584" s="615"/>
      <c r="Q584" s="644" t="s">
        <v>383</v>
      </c>
      <c r="R584" s="618" t="s">
        <v>802</v>
      </c>
      <c r="S584" s="615"/>
      <c r="T584" s="615"/>
      <c r="U584" s="615"/>
      <c r="V584" s="618"/>
      <c r="W584" s="619"/>
      <c r="X584" s="620"/>
      <c r="Y584" s="154"/>
      <c r="Z584" s="147"/>
      <c r="AA584" s="147"/>
      <c r="AB584" s="148"/>
      <c r="AC584" s="732"/>
      <c r="AD584" s="732"/>
      <c r="AE584" s="732"/>
      <c r="AF584" s="732"/>
    </row>
    <row r="585" spans="1:37" s="621" customFormat="1" ht="18.75" customHeight="1" x14ac:dyDescent="0.2">
      <c r="A585" s="139"/>
      <c r="B585" s="670"/>
      <c r="C585" s="140"/>
      <c r="D585" s="141"/>
      <c r="E585" s="143"/>
      <c r="F585" s="142"/>
      <c r="G585" s="128"/>
      <c r="H585" s="714"/>
      <c r="I585" s="643" t="s">
        <v>383</v>
      </c>
      <c r="J585" s="623" t="s">
        <v>803</v>
      </c>
      <c r="K585" s="623"/>
      <c r="L585" s="622"/>
      <c r="M585" s="211" t="s">
        <v>383</v>
      </c>
      <c r="N585" s="623" t="s">
        <v>804</v>
      </c>
      <c r="O585" s="624"/>
      <c r="P585" s="622"/>
      <c r="Q585" s="211" t="s">
        <v>383</v>
      </c>
      <c r="R585" s="623" t="s">
        <v>795</v>
      </c>
      <c r="S585" s="622"/>
      <c r="T585" s="623"/>
      <c r="U585" s="211" t="s">
        <v>383</v>
      </c>
      <c r="V585" s="623" t="s">
        <v>796</v>
      </c>
      <c r="W585" s="625"/>
      <c r="X585" s="626"/>
      <c r="Y585" s="154"/>
      <c r="Z585" s="147"/>
      <c r="AA585" s="147"/>
      <c r="AB585" s="148"/>
      <c r="AC585" s="732"/>
      <c r="AD585" s="732"/>
      <c r="AE585" s="732"/>
      <c r="AF585" s="732"/>
    </row>
    <row r="586" spans="1:37" s="109" customFormat="1" ht="18.75" customHeight="1" x14ac:dyDescent="0.2">
      <c r="A586" s="129"/>
      <c r="B586" s="116"/>
      <c r="C586" s="130"/>
      <c r="D586" s="131"/>
      <c r="E586" s="121"/>
      <c r="F586" s="132"/>
      <c r="G586" s="121"/>
      <c r="H586" s="456" t="s">
        <v>93</v>
      </c>
      <c r="I586" s="367" t="s">
        <v>383</v>
      </c>
      <c r="J586" s="368" t="s">
        <v>250</v>
      </c>
      <c r="K586" s="368"/>
      <c r="L586" s="370"/>
      <c r="M586" s="371" t="s">
        <v>383</v>
      </c>
      <c r="N586" s="368" t="s">
        <v>281</v>
      </c>
      <c r="O586" s="368"/>
      <c r="P586" s="370"/>
      <c r="Q586" s="371" t="s">
        <v>383</v>
      </c>
      <c r="R586" s="457" t="s">
        <v>282</v>
      </c>
      <c r="S586" s="457"/>
      <c r="T586" s="369"/>
      <c r="U586" s="369"/>
      <c r="V586" s="369"/>
      <c r="W586" s="369"/>
      <c r="X586" s="421"/>
      <c r="Y586" s="412" t="s">
        <v>383</v>
      </c>
      <c r="Z586" s="119" t="s">
        <v>249</v>
      </c>
      <c r="AA586" s="119"/>
      <c r="AB586" s="137"/>
      <c r="AC586" s="138" t="s">
        <v>383</v>
      </c>
      <c r="AD586" s="119" t="s">
        <v>249</v>
      </c>
      <c r="AE586" s="119"/>
      <c r="AF586" s="137"/>
      <c r="AG586" s="109" t="str">
        <f>"ser_code = '" &amp; IF(A594="■",33,"") &amp; "'"</f>
        <v>ser_code = ''</v>
      </c>
      <c r="AH586" s="109" t="str">
        <f>"33:jininkbn_code:"&amp;IF(F593="■",1,IF(F594="■",2,0))</f>
        <v>33:jininkbn_code:0</v>
      </c>
      <c r="AI586" s="109" t="str">
        <f>"33:"&amp;IF(AND(I586="□",M586="□",Q586="□"),"ketu_kangos_code:0",IF(I586="■","ketu_kangos_code:1:ketu_kshoku_code:1",IF(M586="■","ketu_kangos_code:2","ketu_kangos_code:1")&amp;IF(Q586="■",":ketu_kshoku_code:2",":ketu_kshoku_code:1")))</f>
        <v>33:ketu_kangos_code:0</v>
      </c>
      <c r="AJ586" s="109" t="str">
        <f>"33:field203:" &amp; IF(Y586="■",1,IF(Y587="■",2,0))</f>
        <v>33:field203:0</v>
      </c>
      <c r="AK586" s="109" t="str">
        <f>"33:waribiki_code:" &amp; IF(AC586="■",1,IF(AC587="■",2,0))</f>
        <v>33:waribiki_code:0</v>
      </c>
    </row>
    <row r="587" spans="1:37" s="109" customFormat="1" ht="18.75" customHeight="1" x14ac:dyDescent="0.2">
      <c r="A587" s="139"/>
      <c r="B587" s="123"/>
      <c r="C587" s="140"/>
      <c r="D587" s="141"/>
      <c r="E587" s="128"/>
      <c r="F587" s="142"/>
      <c r="G587" s="128"/>
      <c r="H587" s="458" t="s">
        <v>185</v>
      </c>
      <c r="I587" s="349" t="s">
        <v>383</v>
      </c>
      <c r="J587" s="350" t="s">
        <v>395</v>
      </c>
      <c r="K587" s="351"/>
      <c r="L587" s="352"/>
      <c r="M587" s="353" t="s">
        <v>383</v>
      </c>
      <c r="N587" s="350" t="s">
        <v>396</v>
      </c>
      <c r="O587" s="355"/>
      <c r="P587" s="355"/>
      <c r="Q587" s="350"/>
      <c r="R587" s="350"/>
      <c r="S587" s="350"/>
      <c r="T587" s="350"/>
      <c r="U587" s="350"/>
      <c r="V587" s="350"/>
      <c r="W587" s="350"/>
      <c r="X587" s="459"/>
      <c r="Y587" s="460" t="s">
        <v>383</v>
      </c>
      <c r="Z587" s="126" t="s">
        <v>255</v>
      </c>
      <c r="AA587" s="147"/>
      <c r="AB587" s="148"/>
      <c r="AC587" s="125" t="s">
        <v>383</v>
      </c>
      <c r="AD587" s="126" t="s">
        <v>255</v>
      </c>
      <c r="AE587" s="147"/>
      <c r="AF587" s="148"/>
      <c r="AG587" s="109" t="str">
        <f>"33:sisetukbn_code:" &amp; IF(D592="■",1,IF(D593="■",2,IF(D594="■",3,IF(D595="■",5,IF(D596="■",6,IF(D597="■",7,0))))))</f>
        <v>33:sisetukbn_code:0</v>
      </c>
      <c r="AI587" s="109" t="str">
        <f>"33:sintaikousoku_code:" &amp; IF(I587="■",1,IF(M587="■",2,0))</f>
        <v>33:sintaikousoku_code:0</v>
      </c>
    </row>
    <row r="588" spans="1:37" s="109" customFormat="1" ht="19.5" customHeight="1" x14ac:dyDescent="0.2">
      <c r="A588" s="139"/>
      <c r="B588" s="123"/>
      <c r="C588" s="140"/>
      <c r="D588" s="141"/>
      <c r="E588" s="128"/>
      <c r="F588" s="142"/>
      <c r="G588" s="143"/>
      <c r="H588" s="348" t="s">
        <v>430</v>
      </c>
      <c r="I588" s="349" t="s">
        <v>383</v>
      </c>
      <c r="J588" s="350" t="s">
        <v>395</v>
      </c>
      <c r="K588" s="351"/>
      <c r="L588" s="352"/>
      <c r="M588" s="353" t="s">
        <v>383</v>
      </c>
      <c r="N588" s="350" t="s">
        <v>431</v>
      </c>
      <c r="O588" s="354"/>
      <c r="P588" s="350"/>
      <c r="Q588" s="355"/>
      <c r="R588" s="355"/>
      <c r="S588" s="355"/>
      <c r="T588" s="355"/>
      <c r="U588" s="355"/>
      <c r="V588" s="355"/>
      <c r="W588" s="355"/>
      <c r="X588" s="356"/>
      <c r="Y588" s="445"/>
      <c r="Z588" s="147"/>
      <c r="AA588" s="147"/>
      <c r="AB588" s="148"/>
      <c r="AC588" s="154"/>
      <c r="AD588" s="147"/>
      <c r="AE588" s="147"/>
      <c r="AF588" s="148"/>
      <c r="AI588" s="109" t="str">
        <f>"33:field223:" &amp; IF(I588="■",1,IF(M588="■",2,0))</f>
        <v>33:field223:0</v>
      </c>
    </row>
    <row r="589" spans="1:37" s="109" customFormat="1" ht="19.5" customHeight="1" x14ac:dyDescent="0.2">
      <c r="A589" s="139"/>
      <c r="B589" s="123"/>
      <c r="C589" s="140"/>
      <c r="D589" s="141"/>
      <c r="E589" s="128"/>
      <c r="F589" s="142"/>
      <c r="G589" s="143"/>
      <c r="H589" s="348" t="s">
        <v>448</v>
      </c>
      <c r="I589" s="349" t="s">
        <v>383</v>
      </c>
      <c r="J589" s="350" t="s">
        <v>395</v>
      </c>
      <c r="K589" s="351"/>
      <c r="L589" s="352"/>
      <c r="M589" s="353" t="s">
        <v>383</v>
      </c>
      <c r="N589" s="350" t="s">
        <v>431</v>
      </c>
      <c r="O589" s="354"/>
      <c r="P589" s="350"/>
      <c r="Q589" s="355"/>
      <c r="R589" s="355"/>
      <c r="S589" s="355"/>
      <c r="T589" s="355"/>
      <c r="U589" s="355"/>
      <c r="V589" s="355"/>
      <c r="W589" s="355"/>
      <c r="X589" s="356"/>
      <c r="Y589" s="445"/>
      <c r="Z589" s="147"/>
      <c r="AA589" s="147"/>
      <c r="AB589" s="148"/>
      <c r="AC589" s="154"/>
      <c r="AD589" s="147"/>
      <c r="AE589" s="147"/>
      <c r="AF589" s="148"/>
      <c r="AI589" s="109" t="str">
        <f>"33:field232:" &amp; IF(I589="■",1,IF(M589="■",2,0))</f>
        <v>33:field232:0</v>
      </c>
    </row>
    <row r="590" spans="1:37" s="109" customFormat="1" ht="18.75" customHeight="1" x14ac:dyDescent="0.2">
      <c r="A590" s="139"/>
      <c r="B590" s="123"/>
      <c r="C590" s="140"/>
      <c r="D590" s="141"/>
      <c r="E590" s="128"/>
      <c r="F590" s="142"/>
      <c r="G590" s="128"/>
      <c r="H590" s="458" t="s">
        <v>191</v>
      </c>
      <c r="I590" s="349" t="s">
        <v>383</v>
      </c>
      <c r="J590" s="350" t="s">
        <v>250</v>
      </c>
      <c r="K590" s="350"/>
      <c r="L590" s="353" t="s">
        <v>383</v>
      </c>
      <c r="M590" s="350" t="s">
        <v>251</v>
      </c>
      <c r="N590" s="350"/>
      <c r="O590" s="353" t="s">
        <v>383</v>
      </c>
      <c r="P590" s="350" t="s">
        <v>252</v>
      </c>
      <c r="Q590" s="350"/>
      <c r="R590" s="350"/>
      <c r="S590" s="350"/>
      <c r="T590" s="350"/>
      <c r="U590" s="350"/>
      <c r="V590" s="350"/>
      <c r="W590" s="350"/>
      <c r="X590" s="459"/>
      <c r="Y590" s="444"/>
      <c r="Z590" s="147"/>
      <c r="AA590" s="147"/>
      <c r="AB590" s="148"/>
      <c r="AC590" s="154"/>
      <c r="AD590" s="147"/>
      <c r="AE590" s="147"/>
      <c r="AF590" s="148"/>
      <c r="AI590" s="109" t="str">
        <f>"33:field165:" &amp; IF(I590="■",1,IF(L590="■",2,IF(O590="■",3,0)))</f>
        <v>33:field165:0</v>
      </c>
    </row>
    <row r="591" spans="1:37" s="109" customFormat="1" ht="37.5" customHeight="1" x14ac:dyDescent="0.2">
      <c r="A591" s="139"/>
      <c r="B591" s="123"/>
      <c r="C591" s="140"/>
      <c r="D591" s="141"/>
      <c r="E591" s="128"/>
      <c r="F591" s="142"/>
      <c r="G591" s="128"/>
      <c r="H591" s="439" t="s">
        <v>211</v>
      </c>
      <c r="I591" s="349" t="s">
        <v>383</v>
      </c>
      <c r="J591" s="350" t="s">
        <v>250</v>
      </c>
      <c r="K591" s="351"/>
      <c r="L591" s="353" t="s">
        <v>383</v>
      </c>
      <c r="M591" s="350" t="s">
        <v>267</v>
      </c>
      <c r="N591" s="350"/>
      <c r="O591" s="350"/>
      <c r="P591" s="350"/>
      <c r="Q591" s="350"/>
      <c r="R591" s="350"/>
      <c r="S591" s="350"/>
      <c r="T591" s="350"/>
      <c r="U591" s="350"/>
      <c r="V591" s="350"/>
      <c r="W591" s="350"/>
      <c r="X591" s="459"/>
      <c r="Y591" s="444"/>
      <c r="Z591" s="147"/>
      <c r="AA591" s="147"/>
      <c r="AB591" s="148"/>
      <c r="AC591" s="154"/>
      <c r="AD591" s="147"/>
      <c r="AE591" s="147"/>
      <c r="AF591" s="148"/>
      <c r="AI591" s="109" t="str">
        <f>"33:field214:" &amp; IF(I591="■",1,IF(L591="■",2,0))</f>
        <v>33:field214:0</v>
      </c>
    </row>
    <row r="592" spans="1:37" s="109" customFormat="1" ht="18.75" customHeight="1" x14ac:dyDescent="0.2">
      <c r="A592" s="139"/>
      <c r="B592" s="123"/>
      <c r="C592" s="140"/>
      <c r="D592" s="125" t="s">
        <v>383</v>
      </c>
      <c r="E592" s="128" t="s">
        <v>386</v>
      </c>
      <c r="F592" s="142"/>
      <c r="G592" s="128"/>
      <c r="H592" s="461" t="s">
        <v>183</v>
      </c>
      <c r="I592" s="349" t="s">
        <v>383</v>
      </c>
      <c r="J592" s="350" t="s">
        <v>250</v>
      </c>
      <c r="K592" s="350"/>
      <c r="L592" s="353" t="s">
        <v>383</v>
      </c>
      <c r="M592" s="350" t="s">
        <v>268</v>
      </c>
      <c r="N592" s="350"/>
      <c r="O592" s="353" t="s">
        <v>383</v>
      </c>
      <c r="P592" s="350" t="s">
        <v>269</v>
      </c>
      <c r="Q592" s="350"/>
      <c r="R592" s="350"/>
      <c r="S592" s="350"/>
      <c r="T592" s="350"/>
      <c r="U592" s="350"/>
      <c r="V592" s="350"/>
      <c r="W592" s="350"/>
      <c r="X592" s="459"/>
      <c r="Y592" s="444"/>
      <c r="Z592" s="147"/>
      <c r="AA592" s="147"/>
      <c r="AB592" s="148"/>
      <c r="AC592" s="154"/>
      <c r="AD592" s="147"/>
      <c r="AE592" s="147"/>
      <c r="AF592" s="148"/>
      <c r="AI592" s="109" t="str">
        <f>"33:field185:" &amp; IF(I592="■",1,IF(L592="■",3,IF(O592="■",2,0)))</f>
        <v>33:field185:0</v>
      </c>
    </row>
    <row r="593" spans="1:37" s="109" customFormat="1" ht="18.75" customHeight="1" x14ac:dyDescent="0.2">
      <c r="A593" s="139"/>
      <c r="B593" s="123"/>
      <c r="C593" s="140"/>
      <c r="D593" s="125" t="s">
        <v>383</v>
      </c>
      <c r="E593" s="128" t="s">
        <v>387</v>
      </c>
      <c r="F593" s="125" t="s">
        <v>383</v>
      </c>
      <c r="G593" s="128" t="s">
        <v>392</v>
      </c>
      <c r="H593" s="461" t="s">
        <v>234</v>
      </c>
      <c r="I593" s="349" t="s">
        <v>383</v>
      </c>
      <c r="J593" s="350" t="s">
        <v>250</v>
      </c>
      <c r="K593" s="351"/>
      <c r="L593" s="353" t="s">
        <v>383</v>
      </c>
      <c r="M593" s="350" t="s">
        <v>267</v>
      </c>
      <c r="N593" s="350"/>
      <c r="O593" s="350"/>
      <c r="P593" s="350"/>
      <c r="Q593" s="350"/>
      <c r="R593" s="350"/>
      <c r="S593" s="350"/>
      <c r="T593" s="350"/>
      <c r="U593" s="350"/>
      <c r="V593" s="350"/>
      <c r="W593" s="350"/>
      <c r="X593" s="459"/>
      <c r="Y593" s="444"/>
      <c r="Z593" s="147"/>
      <c r="AA593" s="147"/>
      <c r="AB593" s="148"/>
      <c r="AC593" s="154"/>
      <c r="AD593" s="147"/>
      <c r="AE593" s="147"/>
      <c r="AF593" s="148"/>
      <c r="AI593" s="109" t="str">
        <f>"33:kobetu_kunren_code:" &amp; IF(I593="■",1,IF(L593="■",2,0))</f>
        <v>33:kobetu_kunren_code:0</v>
      </c>
    </row>
    <row r="594" spans="1:37" s="109" customFormat="1" ht="18.75" customHeight="1" x14ac:dyDescent="0.2">
      <c r="A594" s="125" t="s">
        <v>383</v>
      </c>
      <c r="B594" s="123">
        <v>33</v>
      </c>
      <c r="C594" s="140" t="s">
        <v>385</v>
      </c>
      <c r="D594" s="125" t="s">
        <v>383</v>
      </c>
      <c r="E594" s="128" t="s">
        <v>388</v>
      </c>
      <c r="F594" s="125" t="s">
        <v>383</v>
      </c>
      <c r="G594" s="128" t="s">
        <v>393</v>
      </c>
      <c r="H594" s="461" t="s">
        <v>167</v>
      </c>
      <c r="I594" s="349" t="s">
        <v>383</v>
      </c>
      <c r="J594" s="350" t="s">
        <v>250</v>
      </c>
      <c r="K594" s="351"/>
      <c r="L594" s="353" t="s">
        <v>383</v>
      </c>
      <c r="M594" s="350" t="s">
        <v>267</v>
      </c>
      <c r="N594" s="350"/>
      <c r="O594" s="350"/>
      <c r="P594" s="350"/>
      <c r="Q594" s="350"/>
      <c r="R594" s="350"/>
      <c r="S594" s="350"/>
      <c r="T594" s="350"/>
      <c r="U594" s="350"/>
      <c r="V594" s="350"/>
      <c r="W594" s="350"/>
      <c r="X594" s="459"/>
      <c r="Y594" s="444"/>
      <c r="Z594" s="147"/>
      <c r="AA594" s="147"/>
      <c r="AB594" s="148"/>
      <c r="AC594" s="154"/>
      <c r="AD594" s="147"/>
      <c r="AE594" s="147"/>
      <c r="AF594" s="148"/>
      <c r="AI594" s="109" t="str">
        <f>"33:field186:" &amp; IF(I594="■",1,IF(L594="■",2,0))</f>
        <v>33:field186:0</v>
      </c>
    </row>
    <row r="595" spans="1:37" s="109" customFormat="1" ht="18.75" customHeight="1" x14ac:dyDescent="0.2">
      <c r="A595" s="139"/>
      <c r="B595" s="123"/>
      <c r="C595" s="140"/>
      <c r="D595" s="125" t="s">
        <v>383</v>
      </c>
      <c r="E595" s="128" t="s">
        <v>389</v>
      </c>
      <c r="F595" s="142"/>
      <c r="G595" s="128" t="s">
        <v>394</v>
      </c>
      <c r="H595" s="458" t="s">
        <v>459</v>
      </c>
      <c r="I595" s="349" t="s">
        <v>383</v>
      </c>
      <c r="J595" s="350" t="s">
        <v>250</v>
      </c>
      <c r="K595" s="350"/>
      <c r="L595" s="353" t="s">
        <v>383</v>
      </c>
      <c r="M595" s="350" t="s">
        <v>445</v>
      </c>
      <c r="N595" s="350"/>
      <c r="O595" s="353" t="s">
        <v>383</v>
      </c>
      <c r="P595" s="350" t="s">
        <v>460</v>
      </c>
      <c r="Q595" s="350"/>
      <c r="R595" s="350"/>
      <c r="S595" s="350"/>
      <c r="T595" s="350"/>
      <c r="U595" s="350"/>
      <c r="V595" s="351"/>
      <c r="W595" s="351"/>
      <c r="X595" s="365"/>
      <c r="Y595" s="444"/>
      <c r="Z595" s="147"/>
      <c r="AA595" s="147"/>
      <c r="AB595" s="148"/>
      <c r="AC595" s="154"/>
      <c r="AD595" s="147"/>
      <c r="AE595" s="147"/>
      <c r="AF595" s="148"/>
      <c r="AI595" s="109" t="str">
        <f>"33:yakankango_code:" &amp; IF(I595="■",1,IF(L595="■",3,IF(O595="■",2,0)))</f>
        <v>33:yakankango_code:0</v>
      </c>
    </row>
    <row r="596" spans="1:37" s="109" customFormat="1" ht="18.75" customHeight="1" x14ac:dyDescent="0.2">
      <c r="A596" s="139"/>
      <c r="B596" s="123"/>
      <c r="C596" s="140"/>
      <c r="D596" s="125" t="s">
        <v>383</v>
      </c>
      <c r="E596" s="128" t="s">
        <v>390</v>
      </c>
      <c r="F596" s="142"/>
      <c r="G596" s="128"/>
      <c r="H596" s="458" t="s">
        <v>186</v>
      </c>
      <c r="I596" s="349" t="s">
        <v>383</v>
      </c>
      <c r="J596" s="350" t="s">
        <v>250</v>
      </c>
      <c r="K596" s="351"/>
      <c r="L596" s="353" t="s">
        <v>383</v>
      </c>
      <c r="M596" s="350" t="s">
        <v>267</v>
      </c>
      <c r="N596" s="351"/>
      <c r="O596" s="351"/>
      <c r="P596" s="351"/>
      <c r="Q596" s="351"/>
      <c r="R596" s="351"/>
      <c r="S596" s="351"/>
      <c r="T596" s="351"/>
      <c r="U596" s="351"/>
      <c r="V596" s="351"/>
      <c r="W596" s="351"/>
      <c r="X596" s="365"/>
      <c r="Y596" s="444"/>
      <c r="Z596" s="147"/>
      <c r="AA596" s="147"/>
      <c r="AB596" s="148"/>
      <c r="AC596" s="154"/>
      <c r="AD596" s="147"/>
      <c r="AE596" s="147"/>
      <c r="AF596" s="148"/>
      <c r="AI596" s="109" t="str">
        <f>"33:jyakuninti_uke_code:" &amp; IF(I596="■",1,IF(L596="■",2,0))</f>
        <v>33:jyakuninti_uke_code:0</v>
      </c>
    </row>
    <row r="597" spans="1:37" s="109" customFormat="1" ht="18.75" customHeight="1" x14ac:dyDescent="0.2">
      <c r="A597" s="139"/>
      <c r="B597" s="123"/>
      <c r="C597" s="140"/>
      <c r="D597" s="125" t="s">
        <v>383</v>
      </c>
      <c r="E597" s="128" t="s">
        <v>391</v>
      </c>
      <c r="F597" s="142"/>
      <c r="G597" s="128"/>
      <c r="H597" s="461" t="s">
        <v>197</v>
      </c>
      <c r="I597" s="349" t="s">
        <v>383</v>
      </c>
      <c r="J597" s="350" t="s">
        <v>250</v>
      </c>
      <c r="K597" s="351"/>
      <c r="L597" s="353" t="s">
        <v>383</v>
      </c>
      <c r="M597" s="350" t="s">
        <v>267</v>
      </c>
      <c r="N597" s="350"/>
      <c r="O597" s="350"/>
      <c r="P597" s="350"/>
      <c r="Q597" s="350"/>
      <c r="R597" s="350"/>
      <c r="S597" s="350"/>
      <c r="T597" s="350"/>
      <c r="U597" s="350"/>
      <c r="V597" s="350"/>
      <c r="W597" s="350"/>
      <c r="X597" s="459"/>
      <c r="Y597" s="444"/>
      <c r="Z597" s="147"/>
      <c r="AA597" s="147"/>
      <c r="AB597" s="148"/>
      <c r="AC597" s="154"/>
      <c r="AD597" s="147"/>
      <c r="AE597" s="147"/>
      <c r="AF597" s="148"/>
      <c r="AI597" s="109" t="str">
        <f>"33:field212:" &amp; IF(I597="■",1,IF(L597="■",2,0))</f>
        <v>33:field212:0</v>
      </c>
    </row>
    <row r="598" spans="1:37" s="109" customFormat="1" ht="18.75" customHeight="1" x14ac:dyDescent="0.2">
      <c r="A598" s="139"/>
      <c r="B598" s="123"/>
      <c r="C598" s="140"/>
      <c r="D598" s="141"/>
      <c r="E598" s="128"/>
      <c r="F598" s="142"/>
      <c r="G598" s="128"/>
      <c r="H598" s="364" t="s">
        <v>119</v>
      </c>
      <c r="I598" s="349" t="s">
        <v>383</v>
      </c>
      <c r="J598" s="350" t="s">
        <v>250</v>
      </c>
      <c r="K598" s="351"/>
      <c r="L598" s="353" t="s">
        <v>383</v>
      </c>
      <c r="M598" s="350" t="s">
        <v>267</v>
      </c>
      <c r="N598" s="351"/>
      <c r="O598" s="351"/>
      <c r="P598" s="351"/>
      <c r="Q598" s="351"/>
      <c r="R598" s="351"/>
      <c r="S598" s="351"/>
      <c r="T598" s="351"/>
      <c r="U598" s="351"/>
      <c r="V598" s="351"/>
      <c r="W598" s="351"/>
      <c r="X598" s="365"/>
      <c r="Y598" s="444"/>
      <c r="Z598" s="147"/>
      <c r="AA598" s="147"/>
      <c r="AB598" s="148"/>
      <c r="AC598" s="154"/>
      <c r="AD598" s="147"/>
      <c r="AE598" s="147"/>
      <c r="AF598" s="148"/>
      <c r="AI598" s="109" t="str">
        <f>"33:terminal_code:" &amp; IF(I598="■",1,IF(L598="■",2,0))</f>
        <v>33:terminal_code:0</v>
      </c>
    </row>
    <row r="599" spans="1:37" s="109" customFormat="1" ht="18.75" customHeight="1" x14ac:dyDescent="0.2">
      <c r="A599" s="139"/>
      <c r="B599" s="123"/>
      <c r="C599" s="140"/>
      <c r="D599" s="141"/>
      <c r="E599" s="128"/>
      <c r="F599" s="142"/>
      <c r="G599" s="128"/>
      <c r="H599" s="458" t="s">
        <v>116</v>
      </c>
      <c r="I599" s="349" t="s">
        <v>383</v>
      </c>
      <c r="J599" s="350" t="s">
        <v>250</v>
      </c>
      <c r="K599" s="350"/>
      <c r="L599" s="353" t="s">
        <v>383</v>
      </c>
      <c r="M599" s="350" t="s">
        <v>251</v>
      </c>
      <c r="N599" s="350"/>
      <c r="O599" s="353" t="s">
        <v>383</v>
      </c>
      <c r="P599" s="350" t="s">
        <v>252</v>
      </c>
      <c r="Q599" s="351"/>
      <c r="R599" s="351"/>
      <c r="S599" s="351"/>
      <c r="T599" s="351"/>
      <c r="U599" s="351"/>
      <c r="V599" s="351"/>
      <c r="W599" s="351"/>
      <c r="X599" s="365"/>
      <c r="Y599" s="444"/>
      <c r="Z599" s="147"/>
      <c r="AA599" s="147"/>
      <c r="AB599" s="148"/>
      <c r="AC599" s="154"/>
      <c r="AD599" s="147"/>
      <c r="AE599" s="147"/>
      <c r="AF599" s="148"/>
      <c r="AI599" s="109" t="str">
        <f>"33:ninti_senmoncare_code:" &amp; IF(I599="■",1,IF(O599="■",3,IF(L599="■",2,0)))</f>
        <v>33:ninti_senmoncare_code:0</v>
      </c>
    </row>
    <row r="600" spans="1:37" s="109" customFormat="1" ht="18.75" customHeight="1" x14ac:dyDescent="0.2">
      <c r="A600" s="139"/>
      <c r="B600" s="123"/>
      <c r="C600" s="140"/>
      <c r="D600" s="141"/>
      <c r="E600" s="128"/>
      <c r="F600" s="142"/>
      <c r="G600" s="128"/>
      <c r="H600" s="364" t="s">
        <v>461</v>
      </c>
      <c r="I600" s="349" t="s">
        <v>383</v>
      </c>
      <c r="J600" s="350" t="s">
        <v>250</v>
      </c>
      <c r="K600" s="350"/>
      <c r="L600" s="353" t="s">
        <v>383</v>
      </c>
      <c r="M600" s="381" t="s">
        <v>267</v>
      </c>
      <c r="N600" s="350"/>
      <c r="O600" s="350"/>
      <c r="P600" s="350"/>
      <c r="Q600" s="351"/>
      <c r="R600" s="351"/>
      <c r="S600" s="351"/>
      <c r="T600" s="351"/>
      <c r="U600" s="351"/>
      <c r="V600" s="351"/>
      <c r="W600" s="351"/>
      <c r="X600" s="365"/>
      <c r="Y600" s="444"/>
      <c r="Z600" s="147"/>
      <c r="AA600" s="147"/>
      <c r="AB600" s="148"/>
      <c r="AC600" s="154"/>
      <c r="AD600" s="147"/>
      <c r="AE600" s="147"/>
      <c r="AF600" s="148"/>
      <c r="AI600" s="109" t="str">
        <f>"33:field226:" &amp; IF(I600="■",1,IF(L600="■",2,0))</f>
        <v>33:field226:0</v>
      </c>
    </row>
    <row r="601" spans="1:37" s="109" customFormat="1" ht="18.75" customHeight="1" x14ac:dyDescent="0.2">
      <c r="A601" s="139"/>
      <c r="B601" s="123"/>
      <c r="C601" s="248"/>
      <c r="D601" s="141"/>
      <c r="E601" s="128"/>
      <c r="F601" s="142"/>
      <c r="G601" s="128"/>
      <c r="H601" s="364" t="s">
        <v>462</v>
      </c>
      <c r="I601" s="349" t="s">
        <v>383</v>
      </c>
      <c r="J601" s="350" t="s">
        <v>250</v>
      </c>
      <c r="K601" s="350"/>
      <c r="L601" s="353" t="s">
        <v>383</v>
      </c>
      <c r="M601" s="381" t="s">
        <v>267</v>
      </c>
      <c r="N601" s="350"/>
      <c r="O601" s="350"/>
      <c r="P601" s="350"/>
      <c r="Q601" s="351"/>
      <c r="R601" s="351"/>
      <c r="S601" s="351"/>
      <c r="T601" s="351"/>
      <c r="U601" s="351"/>
      <c r="V601" s="351"/>
      <c r="W601" s="351"/>
      <c r="X601" s="365"/>
      <c r="Y601" s="444"/>
      <c r="Z601" s="147"/>
      <c r="AA601" s="147"/>
      <c r="AB601" s="148"/>
      <c r="AC601" s="154"/>
      <c r="AD601" s="147"/>
      <c r="AE601" s="147"/>
      <c r="AF601" s="148"/>
      <c r="AI601" s="109" t="str">
        <f>"33:field227:" &amp; IF(I601="■",1,IF(L601="■",2,0))</f>
        <v>33:field227:0</v>
      </c>
    </row>
    <row r="602" spans="1:37" s="109" customFormat="1" ht="18.75" customHeight="1" x14ac:dyDescent="0.2">
      <c r="A602" s="139"/>
      <c r="B602" s="123"/>
      <c r="C602" s="140"/>
      <c r="D602" s="141"/>
      <c r="E602" s="128"/>
      <c r="F602" s="142"/>
      <c r="G602" s="128"/>
      <c r="H602" s="435" t="s">
        <v>442</v>
      </c>
      <c r="I602" s="349" t="s">
        <v>383</v>
      </c>
      <c r="J602" s="350" t="s">
        <v>250</v>
      </c>
      <c r="K602" s="350"/>
      <c r="L602" s="353" t="s">
        <v>383</v>
      </c>
      <c r="M602" s="350" t="s">
        <v>251</v>
      </c>
      <c r="N602" s="350"/>
      <c r="O602" s="353" t="s">
        <v>383</v>
      </c>
      <c r="P602" s="350" t="s">
        <v>252</v>
      </c>
      <c r="Q602" s="355"/>
      <c r="R602" s="355"/>
      <c r="S602" s="355"/>
      <c r="T602" s="355"/>
      <c r="U602" s="410"/>
      <c r="V602" s="410"/>
      <c r="W602" s="410"/>
      <c r="X602" s="411"/>
      <c r="Y602" s="444"/>
      <c r="Z602" s="147"/>
      <c r="AA602" s="147"/>
      <c r="AB602" s="148"/>
      <c r="AC602" s="154"/>
      <c r="AD602" s="147"/>
      <c r="AE602" s="147"/>
      <c r="AF602" s="148"/>
      <c r="AI602" s="109" t="str">
        <f>"33:field225:" &amp; IF(I602="■",1,IF(L602="■",2,IF(O602="■",3,0)))</f>
        <v>33:field225:0</v>
      </c>
    </row>
    <row r="603" spans="1:37" s="109" customFormat="1" ht="18.75" customHeight="1" x14ac:dyDescent="0.2">
      <c r="A603" s="139"/>
      <c r="B603" s="670"/>
      <c r="C603" s="140"/>
      <c r="D603" s="141"/>
      <c r="E603" s="128"/>
      <c r="F603" s="142"/>
      <c r="G603" s="128"/>
      <c r="H603" s="439" t="s">
        <v>187</v>
      </c>
      <c r="I603" s="349" t="s">
        <v>383</v>
      </c>
      <c r="J603" s="350" t="s">
        <v>250</v>
      </c>
      <c r="K603" s="350"/>
      <c r="L603" s="353" t="s">
        <v>383</v>
      </c>
      <c r="M603" s="350" t="s">
        <v>258</v>
      </c>
      <c r="N603" s="350"/>
      <c r="O603" s="353" t="s">
        <v>383</v>
      </c>
      <c r="P603" s="350" t="s">
        <v>269</v>
      </c>
      <c r="Q603" s="420"/>
      <c r="R603" s="353" t="s">
        <v>383</v>
      </c>
      <c r="S603" s="350" t="s">
        <v>283</v>
      </c>
      <c r="T603" s="350"/>
      <c r="U603" s="350"/>
      <c r="V603" s="350"/>
      <c r="W603" s="350"/>
      <c r="X603" s="459"/>
      <c r="Y603" s="444"/>
      <c r="Z603" s="147"/>
      <c r="AA603" s="147"/>
      <c r="AB603" s="148"/>
      <c r="AC603" s="154"/>
      <c r="AD603" s="147"/>
      <c r="AE603" s="147"/>
      <c r="AF603" s="148"/>
      <c r="AI603" s="109" t="str">
        <f>"33:serteikyo_kyoka_code:" &amp; IF(I603="■",1,IF(L603="■",6,IF(O603="■",2,IF(R603="■",7,0))))</f>
        <v>33:serteikyo_kyoka_code:0</v>
      </c>
    </row>
    <row r="604" spans="1:37" s="621" customFormat="1" ht="18.75" customHeight="1" x14ac:dyDescent="0.2">
      <c r="A604" s="139"/>
      <c r="B604" s="670"/>
      <c r="C604" s="140"/>
      <c r="D604" s="141"/>
      <c r="E604" s="128"/>
      <c r="F604" s="142"/>
      <c r="G604" s="128"/>
      <c r="H604" s="713" t="s">
        <v>790</v>
      </c>
      <c r="I604" s="642" t="s">
        <v>383</v>
      </c>
      <c r="J604" s="616" t="s">
        <v>627</v>
      </c>
      <c r="K604" s="616"/>
      <c r="L604" s="615"/>
      <c r="M604" s="644" t="s">
        <v>383</v>
      </c>
      <c r="N604" s="616" t="s">
        <v>791</v>
      </c>
      <c r="O604" s="617"/>
      <c r="P604" s="615"/>
      <c r="Q604" s="644" t="s">
        <v>383</v>
      </c>
      <c r="R604" s="618" t="s">
        <v>802</v>
      </c>
      <c r="S604" s="615"/>
      <c r="T604" s="615"/>
      <c r="U604" s="615"/>
      <c r="V604" s="618"/>
      <c r="W604" s="619"/>
      <c r="X604" s="620"/>
      <c r="Y604" s="444"/>
      <c r="Z604" s="147"/>
      <c r="AA604" s="147"/>
      <c r="AB604" s="148"/>
      <c r="AC604" s="154"/>
      <c r="AD604" s="147"/>
      <c r="AE604" s="147"/>
      <c r="AF604" s="148"/>
    </row>
    <row r="605" spans="1:37" s="621" customFormat="1" ht="18.75" customHeight="1" x14ac:dyDescent="0.2">
      <c r="A605" s="139"/>
      <c r="B605" s="670"/>
      <c r="C605" s="140"/>
      <c r="D605" s="141"/>
      <c r="E605" s="128"/>
      <c r="F605" s="142"/>
      <c r="G605" s="128"/>
      <c r="H605" s="714"/>
      <c r="I605" s="643" t="s">
        <v>383</v>
      </c>
      <c r="J605" s="623" t="s">
        <v>803</v>
      </c>
      <c r="K605" s="623"/>
      <c r="L605" s="622"/>
      <c r="M605" s="211" t="s">
        <v>383</v>
      </c>
      <c r="N605" s="623" t="s">
        <v>804</v>
      </c>
      <c r="O605" s="624"/>
      <c r="P605" s="622"/>
      <c r="Q605" s="211" t="s">
        <v>383</v>
      </c>
      <c r="R605" s="623" t="s">
        <v>795</v>
      </c>
      <c r="S605" s="622"/>
      <c r="T605" s="623"/>
      <c r="U605" s="211" t="s">
        <v>383</v>
      </c>
      <c r="V605" s="623" t="s">
        <v>796</v>
      </c>
      <c r="W605" s="625"/>
      <c r="X605" s="626"/>
      <c r="Y605" s="444"/>
      <c r="Z605" s="147"/>
      <c r="AA605" s="147"/>
      <c r="AB605" s="148"/>
      <c r="AC605" s="154"/>
      <c r="AD605" s="147"/>
      <c r="AE605" s="147"/>
      <c r="AF605" s="148"/>
    </row>
    <row r="606" spans="1:37" s="109" customFormat="1" ht="18.75" customHeight="1" x14ac:dyDescent="0.2">
      <c r="A606" s="129"/>
      <c r="B606" s="116"/>
      <c r="C606" s="233"/>
      <c r="D606" s="132"/>
      <c r="E606" s="121"/>
      <c r="F606" s="132"/>
      <c r="G606" s="133"/>
      <c r="H606" s="456" t="s">
        <v>93</v>
      </c>
      <c r="I606" s="367" t="s">
        <v>383</v>
      </c>
      <c r="J606" s="368" t="s">
        <v>250</v>
      </c>
      <c r="K606" s="368"/>
      <c r="L606" s="370"/>
      <c r="M606" s="371" t="s">
        <v>383</v>
      </c>
      <c r="N606" s="368" t="s">
        <v>281</v>
      </c>
      <c r="O606" s="368"/>
      <c r="P606" s="370"/>
      <c r="Q606" s="371" t="s">
        <v>383</v>
      </c>
      <c r="R606" s="457" t="s">
        <v>282</v>
      </c>
      <c r="S606" s="457"/>
      <c r="T606" s="369"/>
      <c r="U606" s="369"/>
      <c r="V606" s="369"/>
      <c r="W606" s="369"/>
      <c r="X606" s="421"/>
      <c r="Y606" s="412" t="s">
        <v>383</v>
      </c>
      <c r="Z606" s="119" t="s">
        <v>249</v>
      </c>
      <c r="AA606" s="119"/>
      <c r="AB606" s="137"/>
      <c r="AC606" s="138" t="s">
        <v>383</v>
      </c>
      <c r="AD606" s="119" t="s">
        <v>249</v>
      </c>
      <c r="AE606" s="119"/>
      <c r="AF606" s="137"/>
      <c r="AG606" s="109" t="str">
        <f>"ser_code = '" &amp; IF(A611="■",27,"") &amp; "'"</f>
        <v>ser_code = ''</v>
      </c>
      <c r="AI606" s="109" t="str">
        <f>"27:"&amp;IF(AND(I606="□",M606="□",Q606="□"),"ketu_kangos_code:0",IF(I606="■","ketu_kangos_code:1:ketu_kshoku_code:1",IF(M606="■","ketu_kangos_code:2","ketu_kangos_code:1")&amp;IF(Q606="■",":ketu_kshoku_code:2",":ketu_kshoku_code:1")))</f>
        <v>27:ketu_kangos_code:0</v>
      </c>
      <c r="AJ606" s="109" t="str">
        <f>"27:field203:" &amp; IF(Y606="■",1,IF(Y607="■",2,0))</f>
        <v>27:field203:0</v>
      </c>
      <c r="AK606" s="109" t="str">
        <f>"27:waribiki_code:" &amp; IF(AC606="■",1,IF(AC607="■",2,0))</f>
        <v>27:waribiki_code:0</v>
      </c>
    </row>
    <row r="607" spans="1:37" s="109" customFormat="1" ht="18.75" customHeight="1" x14ac:dyDescent="0.2">
      <c r="A607" s="139"/>
      <c r="B607" s="123"/>
      <c r="C607" s="248"/>
      <c r="D607" s="249"/>
      <c r="E607" s="128"/>
      <c r="F607" s="142"/>
      <c r="G607" s="143"/>
      <c r="H607" s="364" t="s">
        <v>107</v>
      </c>
      <c r="I607" s="349" t="s">
        <v>383</v>
      </c>
      <c r="J607" s="350" t="s">
        <v>395</v>
      </c>
      <c r="K607" s="351"/>
      <c r="L607" s="352"/>
      <c r="M607" s="353" t="s">
        <v>383</v>
      </c>
      <c r="N607" s="350" t="s">
        <v>396</v>
      </c>
      <c r="O607" s="351"/>
      <c r="P607" s="351"/>
      <c r="Q607" s="351"/>
      <c r="R607" s="351"/>
      <c r="S607" s="351"/>
      <c r="T607" s="351"/>
      <c r="U607" s="351"/>
      <c r="V607" s="351"/>
      <c r="W607" s="351"/>
      <c r="X607" s="365"/>
      <c r="Y607" s="125" t="s">
        <v>383</v>
      </c>
      <c r="Z607" s="126" t="s">
        <v>255</v>
      </c>
      <c r="AA607" s="147"/>
      <c r="AB607" s="148"/>
      <c r="AC607" s="125" t="s">
        <v>383</v>
      </c>
      <c r="AD607" s="126" t="s">
        <v>255</v>
      </c>
      <c r="AE607" s="147"/>
      <c r="AF607" s="148"/>
      <c r="AG607" s="109" t="str">
        <f>"27:sisetukbn_code:" &amp; IF(D610="■",1,IF(D611="■",2,IF(D612="■",5,IF(D613="■",6,0))))</f>
        <v>27:sisetukbn_code:0</v>
      </c>
      <c r="AI607" s="109" t="str">
        <f>"2A:sintaikousoku_code:" &amp; IF(I607="■",1,IF(M607="■",2,0))</f>
        <v>2A:sintaikousoku_code:0</v>
      </c>
    </row>
    <row r="608" spans="1:37" s="109" customFormat="1" ht="19.5" customHeight="1" x14ac:dyDescent="0.2">
      <c r="A608" s="139"/>
      <c r="B608" s="123"/>
      <c r="C608" s="237"/>
      <c r="D608" s="174"/>
      <c r="E608" s="128"/>
      <c r="F608" s="142"/>
      <c r="G608" s="143"/>
      <c r="H608" s="348" t="s">
        <v>430</v>
      </c>
      <c r="I608" s="349" t="s">
        <v>383</v>
      </c>
      <c r="J608" s="350" t="s">
        <v>395</v>
      </c>
      <c r="K608" s="351"/>
      <c r="L608" s="352"/>
      <c r="M608" s="353" t="s">
        <v>383</v>
      </c>
      <c r="N608" s="350" t="s">
        <v>431</v>
      </c>
      <c r="O608" s="354"/>
      <c r="P608" s="350"/>
      <c r="Q608" s="355"/>
      <c r="R608" s="355"/>
      <c r="S608" s="355"/>
      <c r="T608" s="355"/>
      <c r="U608" s="355"/>
      <c r="V608" s="355"/>
      <c r="W608" s="355"/>
      <c r="X608" s="356"/>
      <c r="Y608" s="174"/>
      <c r="Z608" s="126"/>
      <c r="AA608" s="147"/>
      <c r="AB608" s="148"/>
      <c r="AC608" s="174"/>
      <c r="AD608" s="126"/>
      <c r="AE608" s="147"/>
      <c r="AF608" s="148"/>
      <c r="AI608" s="109" t="str">
        <f>"27:field223:" &amp; IF(I608="■",1,IF(M608="■",2,0))</f>
        <v>27:field223:0</v>
      </c>
    </row>
    <row r="609" spans="1:36" s="109" customFormat="1" ht="19.5" customHeight="1" x14ac:dyDescent="0.2">
      <c r="A609" s="139"/>
      <c r="B609" s="123"/>
      <c r="C609" s="237"/>
      <c r="D609" s="174"/>
      <c r="E609" s="128"/>
      <c r="F609" s="142"/>
      <c r="G609" s="143"/>
      <c r="H609" s="348" t="s">
        <v>448</v>
      </c>
      <c r="I609" s="349" t="s">
        <v>383</v>
      </c>
      <c r="J609" s="350" t="s">
        <v>395</v>
      </c>
      <c r="K609" s="351"/>
      <c r="L609" s="352"/>
      <c r="M609" s="353" t="s">
        <v>383</v>
      </c>
      <c r="N609" s="350" t="s">
        <v>431</v>
      </c>
      <c r="O609" s="354"/>
      <c r="P609" s="350"/>
      <c r="Q609" s="355"/>
      <c r="R609" s="355"/>
      <c r="S609" s="355"/>
      <c r="T609" s="355"/>
      <c r="U609" s="355"/>
      <c r="V609" s="355"/>
      <c r="W609" s="355"/>
      <c r="X609" s="356"/>
      <c r="Y609" s="174"/>
      <c r="Z609" s="126"/>
      <c r="AA609" s="147"/>
      <c r="AB609" s="148"/>
      <c r="AC609" s="174"/>
      <c r="AD609" s="126"/>
      <c r="AE609" s="147"/>
      <c r="AF609" s="148"/>
      <c r="AI609" s="109" t="str">
        <f>"27:field232:" &amp; IF(I609="■",1,IF(M609="■",2,0))</f>
        <v>27:field232:0</v>
      </c>
    </row>
    <row r="610" spans="1:36" s="109" customFormat="1" ht="18.75" customHeight="1" x14ac:dyDescent="0.2">
      <c r="A610" s="139"/>
      <c r="B610" s="123"/>
      <c r="C610" s="237"/>
      <c r="D610" s="125" t="s">
        <v>383</v>
      </c>
      <c r="E610" s="128" t="s">
        <v>386</v>
      </c>
      <c r="F610" s="142"/>
      <c r="G610" s="143"/>
      <c r="H610" s="458" t="s">
        <v>459</v>
      </c>
      <c r="I610" s="349" t="s">
        <v>383</v>
      </c>
      <c r="J610" s="350" t="s">
        <v>250</v>
      </c>
      <c r="K610" s="350"/>
      <c r="L610" s="353" t="s">
        <v>383</v>
      </c>
      <c r="M610" s="350" t="s">
        <v>445</v>
      </c>
      <c r="N610" s="350"/>
      <c r="O610" s="353" t="s">
        <v>383</v>
      </c>
      <c r="P610" s="350" t="s">
        <v>460</v>
      </c>
      <c r="Q610" s="350"/>
      <c r="R610" s="350"/>
      <c r="S610" s="350"/>
      <c r="T610" s="350"/>
      <c r="U610" s="350"/>
      <c r="V610" s="351"/>
      <c r="W610" s="351"/>
      <c r="X610" s="365"/>
      <c r="Y610" s="154"/>
      <c r="Z610" s="147"/>
      <c r="AA610" s="147"/>
      <c r="AB610" s="148"/>
      <c r="AC610" s="154"/>
      <c r="AD610" s="147"/>
      <c r="AE610" s="147"/>
      <c r="AF610" s="148"/>
      <c r="AI610" s="109" t="str">
        <f>"27:yakankango_code:" &amp; IF(I610="■",1,IF(L610="■",3,IF(O610="■",2,0)))</f>
        <v>27:yakankango_code:0</v>
      </c>
    </row>
    <row r="611" spans="1:36" s="109" customFormat="1" ht="18.75" customHeight="1" x14ac:dyDescent="0.2">
      <c r="A611" s="125" t="s">
        <v>383</v>
      </c>
      <c r="B611" s="123">
        <v>27</v>
      </c>
      <c r="C611" s="237" t="s">
        <v>384</v>
      </c>
      <c r="D611" s="125" t="s">
        <v>383</v>
      </c>
      <c r="E611" s="128" t="s">
        <v>387</v>
      </c>
      <c r="F611" s="142"/>
      <c r="G611" s="143"/>
      <c r="H611" s="458" t="s">
        <v>186</v>
      </c>
      <c r="I611" s="349" t="s">
        <v>383</v>
      </c>
      <c r="J611" s="350" t="s">
        <v>250</v>
      </c>
      <c r="K611" s="351"/>
      <c r="L611" s="353" t="s">
        <v>383</v>
      </c>
      <c r="M611" s="350" t="s">
        <v>267</v>
      </c>
      <c r="N611" s="350"/>
      <c r="O611" s="351"/>
      <c r="P611" s="351"/>
      <c r="Q611" s="351"/>
      <c r="R611" s="351"/>
      <c r="S611" s="351"/>
      <c r="T611" s="351"/>
      <c r="U611" s="351"/>
      <c r="V611" s="351"/>
      <c r="W611" s="351"/>
      <c r="X611" s="365"/>
      <c r="Y611" s="154"/>
      <c r="Z611" s="147"/>
      <c r="AA611" s="147"/>
      <c r="AB611" s="148"/>
      <c r="AC611" s="154"/>
      <c r="AD611" s="147"/>
      <c r="AE611" s="147"/>
      <c r="AF611" s="148"/>
      <c r="AI611" s="109" t="str">
        <f>"27:jyakuninti_uke_code:" &amp; IF(I611="■",1,IF(L611="■",2,0))</f>
        <v>27:jyakuninti_uke_code:0</v>
      </c>
    </row>
    <row r="612" spans="1:36" s="109" customFormat="1" ht="18.75" customHeight="1" x14ac:dyDescent="0.2">
      <c r="A612" s="139"/>
      <c r="B612" s="123"/>
      <c r="C612" s="237" t="s">
        <v>397</v>
      </c>
      <c r="D612" s="125" t="s">
        <v>383</v>
      </c>
      <c r="E612" s="128" t="s">
        <v>389</v>
      </c>
      <c r="F612" s="142"/>
      <c r="G612" s="128"/>
      <c r="H612" s="364" t="s">
        <v>461</v>
      </c>
      <c r="I612" s="349" t="s">
        <v>383</v>
      </c>
      <c r="J612" s="350" t="s">
        <v>250</v>
      </c>
      <c r="K612" s="350"/>
      <c r="L612" s="353" t="s">
        <v>383</v>
      </c>
      <c r="M612" s="381" t="s">
        <v>267</v>
      </c>
      <c r="N612" s="350"/>
      <c r="O612" s="350"/>
      <c r="P612" s="350"/>
      <c r="Q612" s="351"/>
      <c r="R612" s="351"/>
      <c r="S612" s="351"/>
      <c r="T612" s="351"/>
      <c r="U612" s="351"/>
      <c r="V612" s="351"/>
      <c r="W612" s="351"/>
      <c r="X612" s="365"/>
      <c r="Y612" s="154"/>
      <c r="Z612" s="147"/>
      <c r="AA612" s="147"/>
      <c r="AB612" s="148"/>
      <c r="AC612" s="154"/>
      <c r="AD612" s="147"/>
      <c r="AE612" s="147"/>
      <c r="AF612" s="148"/>
      <c r="AI612" s="109" t="str">
        <f>"27:field226:" &amp; IF(I612="■",1,IF(L612="■",2,0))</f>
        <v>27:field226:0</v>
      </c>
    </row>
    <row r="613" spans="1:36" s="109" customFormat="1" ht="18.75" customHeight="1" x14ac:dyDescent="0.2">
      <c r="A613" s="139"/>
      <c r="B613" s="123"/>
      <c r="C613" s="237"/>
      <c r="D613" s="125" t="s">
        <v>383</v>
      </c>
      <c r="E613" s="128" t="s">
        <v>390</v>
      </c>
      <c r="F613" s="142"/>
      <c r="G613" s="128"/>
      <c r="H613" s="364" t="s">
        <v>462</v>
      </c>
      <c r="I613" s="349" t="s">
        <v>383</v>
      </c>
      <c r="J613" s="350" t="s">
        <v>250</v>
      </c>
      <c r="K613" s="350"/>
      <c r="L613" s="353" t="s">
        <v>383</v>
      </c>
      <c r="M613" s="381" t="s">
        <v>267</v>
      </c>
      <c r="N613" s="350"/>
      <c r="O613" s="350"/>
      <c r="P613" s="350"/>
      <c r="Q613" s="351"/>
      <c r="R613" s="351"/>
      <c r="S613" s="351"/>
      <c r="T613" s="351"/>
      <c r="U613" s="351"/>
      <c r="V613" s="351"/>
      <c r="W613" s="351"/>
      <c r="X613" s="365"/>
      <c r="Y613" s="154"/>
      <c r="Z613" s="147"/>
      <c r="AA613" s="147"/>
      <c r="AB613" s="148"/>
      <c r="AC613" s="154"/>
      <c r="AD613" s="147"/>
      <c r="AE613" s="147"/>
      <c r="AF613" s="148"/>
      <c r="AI613" s="109" t="str">
        <f>"27:field227:" &amp; IF(I613="■",1,IF(L613="■",2,0))</f>
        <v>27:field227:0</v>
      </c>
    </row>
    <row r="614" spans="1:36" s="109" customFormat="1" ht="18.75" customHeight="1" x14ac:dyDescent="0.2">
      <c r="A614" s="139"/>
      <c r="B614" s="123"/>
      <c r="C614" s="237"/>
      <c r="D614" s="249"/>
      <c r="E614" s="128"/>
      <c r="F614" s="142"/>
      <c r="G614" s="143"/>
      <c r="H614" s="435" t="s">
        <v>442</v>
      </c>
      <c r="I614" s="349" t="s">
        <v>383</v>
      </c>
      <c r="J614" s="350" t="s">
        <v>250</v>
      </c>
      <c r="K614" s="350"/>
      <c r="L614" s="353" t="s">
        <v>383</v>
      </c>
      <c r="M614" s="350" t="s">
        <v>251</v>
      </c>
      <c r="N614" s="350"/>
      <c r="O614" s="353" t="s">
        <v>383</v>
      </c>
      <c r="P614" s="350" t="s">
        <v>252</v>
      </c>
      <c r="Q614" s="355"/>
      <c r="R614" s="355"/>
      <c r="S614" s="355"/>
      <c r="T614" s="355"/>
      <c r="U614" s="410"/>
      <c r="V614" s="410"/>
      <c r="W614" s="410"/>
      <c r="X614" s="411"/>
      <c r="Y614" s="154"/>
      <c r="Z614" s="147"/>
      <c r="AA614" s="147"/>
      <c r="AB614" s="148"/>
      <c r="AC614" s="154"/>
      <c r="AD614" s="147"/>
      <c r="AE614" s="147"/>
      <c r="AF614" s="148"/>
      <c r="AI614" s="109" t="str">
        <f>"27:field225:" &amp; IF(I614="■",1,IF(L614="■",2,IF(O614="■",3,0)))</f>
        <v>27:field225:0</v>
      </c>
    </row>
    <row r="615" spans="1:36" s="109" customFormat="1" ht="18.75" customHeight="1" x14ac:dyDescent="0.2">
      <c r="A615" s="139"/>
      <c r="B615" s="123"/>
      <c r="C615" s="237"/>
      <c r="D615" s="249"/>
      <c r="E615" s="128"/>
      <c r="F615" s="142"/>
      <c r="G615" s="143"/>
      <c r="H615" s="439" t="s">
        <v>187</v>
      </c>
      <c r="I615" s="349" t="s">
        <v>383</v>
      </c>
      <c r="J615" s="350" t="s">
        <v>250</v>
      </c>
      <c r="K615" s="350"/>
      <c r="L615" s="353" t="s">
        <v>383</v>
      </c>
      <c r="M615" s="350" t="s">
        <v>258</v>
      </c>
      <c r="N615" s="350"/>
      <c r="O615" s="353" t="s">
        <v>383</v>
      </c>
      <c r="P615" s="350" t="s">
        <v>269</v>
      </c>
      <c r="Q615" s="420"/>
      <c r="R615" s="353" t="s">
        <v>383</v>
      </c>
      <c r="S615" s="350" t="s">
        <v>283</v>
      </c>
      <c r="T615" s="350"/>
      <c r="U615" s="350"/>
      <c r="V615" s="350"/>
      <c r="W615" s="350"/>
      <c r="X615" s="459"/>
      <c r="Y615" s="154"/>
      <c r="Z615" s="147"/>
      <c r="AA615" s="147"/>
      <c r="AB615" s="148"/>
      <c r="AC615" s="154"/>
      <c r="AD615" s="147"/>
      <c r="AE615" s="147"/>
      <c r="AF615" s="148"/>
      <c r="AI615" s="109" t="str">
        <f>"27:serteikyo_kyoka_code:" &amp; IF(I615="■",1,IF(L615="■",6,IF(O615="■",2,IF(R615="■",7,0))))</f>
        <v>27:serteikyo_kyoka_code:0</v>
      </c>
    </row>
    <row r="616" spans="1:36" s="621" customFormat="1" ht="18.75" customHeight="1" x14ac:dyDescent="0.2">
      <c r="A616" s="139"/>
      <c r="B616" s="670"/>
      <c r="C616" s="140"/>
      <c r="D616" s="141"/>
      <c r="E616" s="128"/>
      <c r="F616" s="142"/>
      <c r="G616" s="128"/>
      <c r="H616" s="713" t="s">
        <v>790</v>
      </c>
      <c r="I616" s="642" t="s">
        <v>383</v>
      </c>
      <c r="J616" s="616" t="s">
        <v>627</v>
      </c>
      <c r="K616" s="616"/>
      <c r="L616" s="615"/>
      <c r="M616" s="644" t="s">
        <v>383</v>
      </c>
      <c r="N616" s="616" t="s">
        <v>791</v>
      </c>
      <c r="O616" s="617"/>
      <c r="P616" s="615"/>
      <c r="Q616" s="644" t="s">
        <v>383</v>
      </c>
      <c r="R616" s="618" t="s">
        <v>802</v>
      </c>
      <c r="S616" s="615"/>
      <c r="T616" s="615"/>
      <c r="U616" s="615"/>
      <c r="V616" s="618"/>
      <c r="W616" s="619"/>
      <c r="X616" s="620"/>
      <c r="Y616" s="444"/>
      <c r="Z616" s="147"/>
      <c r="AA616" s="147"/>
      <c r="AB616" s="148"/>
      <c r="AC616" s="154"/>
      <c r="AD616" s="147"/>
      <c r="AE616" s="147"/>
      <c r="AF616" s="148"/>
    </row>
    <row r="617" spans="1:36" s="621" customFormat="1" ht="18.75" customHeight="1" x14ac:dyDescent="0.2">
      <c r="A617" s="139"/>
      <c r="B617" s="670"/>
      <c r="C617" s="140"/>
      <c r="D617" s="141"/>
      <c r="E617" s="128"/>
      <c r="F617" s="142"/>
      <c r="G617" s="128"/>
      <c r="H617" s="714"/>
      <c r="I617" s="643" t="s">
        <v>383</v>
      </c>
      <c r="J617" s="623" t="s">
        <v>803</v>
      </c>
      <c r="K617" s="623"/>
      <c r="L617" s="622"/>
      <c r="M617" s="211" t="s">
        <v>383</v>
      </c>
      <c r="N617" s="623" t="s">
        <v>804</v>
      </c>
      <c r="O617" s="624"/>
      <c r="P617" s="622"/>
      <c r="Q617" s="211" t="s">
        <v>383</v>
      </c>
      <c r="R617" s="623" t="s">
        <v>795</v>
      </c>
      <c r="S617" s="622"/>
      <c r="T617" s="623"/>
      <c r="U617" s="211" t="s">
        <v>383</v>
      </c>
      <c r="V617" s="623" t="s">
        <v>796</v>
      </c>
      <c r="W617" s="625"/>
      <c r="X617" s="626"/>
      <c r="Y617" s="974"/>
      <c r="Z617" s="192"/>
      <c r="AA617" s="192"/>
      <c r="AB617" s="193"/>
      <c r="AC617" s="194"/>
      <c r="AD617" s="192"/>
      <c r="AE617" s="192"/>
      <c r="AF617" s="193"/>
    </row>
    <row r="618" spans="1:36" s="109" customFormat="1" ht="19.5" customHeight="1" x14ac:dyDescent="0.2">
      <c r="A618" s="129"/>
      <c r="B618" s="656"/>
      <c r="C618" s="130"/>
      <c r="D618" s="131"/>
      <c r="E618" s="121"/>
      <c r="F618" s="132"/>
      <c r="G618" s="133"/>
      <c r="H618" s="465" t="s">
        <v>448</v>
      </c>
      <c r="I618" s="380" t="s">
        <v>383</v>
      </c>
      <c r="J618" s="381" t="s">
        <v>395</v>
      </c>
      <c r="K618" s="419"/>
      <c r="L618" s="382"/>
      <c r="M618" s="383" t="s">
        <v>383</v>
      </c>
      <c r="N618" s="381" t="s">
        <v>431</v>
      </c>
      <c r="O618" s="466"/>
      <c r="P618" s="381"/>
      <c r="Q618" s="436"/>
      <c r="R618" s="436"/>
      <c r="S618" s="436"/>
      <c r="T618" s="436"/>
      <c r="U618" s="436"/>
      <c r="V618" s="436"/>
      <c r="W618" s="436"/>
      <c r="X618" s="437"/>
      <c r="Y618" s="125" t="s">
        <v>383</v>
      </c>
      <c r="Z618" s="126" t="s">
        <v>249</v>
      </c>
      <c r="AA618" s="147"/>
      <c r="AB618" s="148"/>
      <c r="AC618" s="757"/>
      <c r="AD618" s="758"/>
      <c r="AE618" s="758"/>
      <c r="AF618" s="759"/>
      <c r="AG618" s="109" t="str">
        <f>"ser_code = '" &amp; IF(A620="■",17,"") &amp; "'"</f>
        <v>ser_code = ''</v>
      </c>
      <c r="AI618" s="109" t="str">
        <f>"17:field232:" &amp; IF(I618="■",1,IF(M618="■",2,0))</f>
        <v>17:field232:0</v>
      </c>
      <c r="AJ618" s="109" t="str">
        <f>"17:field203:" &amp; IF(Y618="■",1,IF(Y619="■",2,0))</f>
        <v>17:field203:0</v>
      </c>
    </row>
    <row r="619" spans="1:36" s="109" customFormat="1" ht="18.75" customHeight="1" x14ac:dyDescent="0.2">
      <c r="A619" s="139"/>
      <c r="B619" s="123"/>
      <c r="C619" s="140"/>
      <c r="D619" s="141"/>
      <c r="E619" s="128"/>
      <c r="F619" s="142"/>
      <c r="G619" s="143"/>
      <c r="H619" s="467" t="s">
        <v>449</v>
      </c>
      <c r="I619" s="380" t="s">
        <v>781</v>
      </c>
      <c r="J619" s="381" t="s">
        <v>250</v>
      </c>
      <c r="K619" s="419"/>
      <c r="L619" s="383" t="s">
        <v>383</v>
      </c>
      <c r="M619" s="381" t="s">
        <v>267</v>
      </c>
      <c r="N619" s="419"/>
      <c r="O619" s="419"/>
      <c r="P619" s="419"/>
      <c r="Q619" s="419"/>
      <c r="R619" s="419"/>
      <c r="S619" s="419"/>
      <c r="T619" s="419"/>
      <c r="U619" s="419"/>
      <c r="V619" s="419"/>
      <c r="W619" s="419"/>
      <c r="X619" s="468"/>
      <c r="Y619" s="125" t="s">
        <v>383</v>
      </c>
      <c r="Z619" s="126" t="s">
        <v>255</v>
      </c>
      <c r="AA619" s="126"/>
      <c r="AB619" s="148"/>
      <c r="AC619" s="760"/>
      <c r="AD619" s="758"/>
      <c r="AE619" s="758"/>
      <c r="AF619" s="759"/>
      <c r="AI619" s="109" t="str">
        <f>"17:tokutiiki_code:" &amp; IF(I619="■",1,IF(L619="■",2,0))</f>
        <v>17:tokutiiki_code:1</v>
      </c>
    </row>
    <row r="620" spans="1:36" s="109" customFormat="1" ht="18.75" customHeight="1" x14ac:dyDescent="0.2">
      <c r="A620" s="125" t="s">
        <v>383</v>
      </c>
      <c r="B620" s="123">
        <v>17</v>
      </c>
      <c r="C620" s="140" t="s">
        <v>6</v>
      </c>
      <c r="D620" s="141"/>
      <c r="E620" s="128"/>
      <c r="F620" s="142"/>
      <c r="G620" s="143"/>
      <c r="H620" s="694" t="s">
        <v>209</v>
      </c>
      <c r="I620" s="707" t="s">
        <v>781</v>
      </c>
      <c r="J620" s="708" t="s">
        <v>256</v>
      </c>
      <c r="K620" s="708"/>
      <c r="L620" s="708"/>
      <c r="M620" s="707" t="s">
        <v>383</v>
      </c>
      <c r="N620" s="708" t="s">
        <v>257</v>
      </c>
      <c r="O620" s="708"/>
      <c r="P620" s="708"/>
      <c r="Q620" s="251"/>
      <c r="R620" s="251"/>
      <c r="S620" s="251"/>
      <c r="T620" s="251"/>
      <c r="U620" s="251"/>
      <c r="V620" s="251"/>
      <c r="W620" s="251"/>
      <c r="X620" s="252"/>
      <c r="Y620" s="154"/>
      <c r="Z620" s="126"/>
      <c r="AA620" s="147"/>
      <c r="AB620" s="148"/>
      <c r="AC620" s="760"/>
      <c r="AD620" s="758"/>
      <c r="AE620" s="758"/>
      <c r="AF620" s="759"/>
      <c r="AI620" s="109" t="str">
        <f>"17:chuusankanti_tiiki_code:" &amp; IF(I620="■",1,IF(M620="■",2,0))</f>
        <v>17:chuusankanti_tiiki_code:1</v>
      </c>
    </row>
    <row r="621" spans="1:36" s="109" customFormat="1" ht="18.75" customHeight="1" x14ac:dyDescent="0.2">
      <c r="A621" s="139"/>
      <c r="B621" s="123"/>
      <c r="C621" s="140"/>
      <c r="D621" s="141"/>
      <c r="E621" s="128"/>
      <c r="F621" s="142"/>
      <c r="G621" s="143"/>
      <c r="H621" s="693"/>
      <c r="I621" s="696"/>
      <c r="J621" s="698"/>
      <c r="K621" s="698"/>
      <c r="L621" s="698"/>
      <c r="M621" s="696"/>
      <c r="N621" s="698"/>
      <c r="O621" s="698"/>
      <c r="P621" s="698"/>
      <c r="Q621" s="179"/>
      <c r="R621" s="179"/>
      <c r="S621" s="179"/>
      <c r="T621" s="179"/>
      <c r="U621" s="179"/>
      <c r="V621" s="179"/>
      <c r="W621" s="179"/>
      <c r="X621" s="180"/>
      <c r="Y621" s="154"/>
      <c r="Z621" s="147"/>
      <c r="AA621" s="147"/>
      <c r="AB621" s="148"/>
      <c r="AC621" s="760"/>
      <c r="AD621" s="758"/>
      <c r="AE621" s="758"/>
      <c r="AF621" s="759"/>
    </row>
    <row r="622" spans="1:36" s="109" customFormat="1" ht="18.75" customHeight="1" x14ac:dyDescent="0.2">
      <c r="A622" s="139"/>
      <c r="B622" s="123"/>
      <c r="C622" s="140"/>
      <c r="D622" s="141"/>
      <c r="E622" s="128"/>
      <c r="F622" s="142"/>
      <c r="G622" s="143"/>
      <c r="H622" s="694" t="s">
        <v>210</v>
      </c>
      <c r="I622" s="715" t="s">
        <v>781</v>
      </c>
      <c r="J622" s="708" t="s">
        <v>256</v>
      </c>
      <c r="K622" s="708"/>
      <c r="L622" s="708"/>
      <c r="M622" s="707" t="s">
        <v>383</v>
      </c>
      <c r="N622" s="708" t="s">
        <v>257</v>
      </c>
      <c r="O622" s="708"/>
      <c r="P622" s="708"/>
      <c r="Q622" s="251"/>
      <c r="R622" s="251"/>
      <c r="S622" s="251"/>
      <c r="T622" s="251"/>
      <c r="U622" s="251"/>
      <c r="V622" s="251"/>
      <c r="W622" s="251"/>
      <c r="X622" s="252"/>
      <c r="Y622" s="154"/>
      <c r="Z622" s="147"/>
      <c r="AA622" s="147"/>
      <c r="AB622" s="148"/>
      <c r="AC622" s="760"/>
      <c r="AD622" s="758"/>
      <c r="AE622" s="758"/>
      <c r="AF622" s="759"/>
      <c r="AI622" s="109" t="str">
        <f>"17:chuusankanti_kibo_code:" &amp; IF(I622="■",1,IF(M622="■",2,0))</f>
        <v>17:chuusankanti_kibo_code:1</v>
      </c>
    </row>
    <row r="623" spans="1:36" s="109" customFormat="1" ht="18.75" customHeight="1" x14ac:dyDescent="0.2">
      <c r="A623" s="183"/>
      <c r="B623" s="184"/>
      <c r="C623" s="185"/>
      <c r="D623" s="186"/>
      <c r="E623" s="187"/>
      <c r="F623" s="188"/>
      <c r="G623" s="189"/>
      <c r="H623" s="764"/>
      <c r="I623" s="765"/>
      <c r="J623" s="753"/>
      <c r="K623" s="753"/>
      <c r="L623" s="753"/>
      <c r="M623" s="766"/>
      <c r="N623" s="753"/>
      <c r="O623" s="753"/>
      <c r="P623" s="753"/>
      <c r="Q623" s="266"/>
      <c r="R623" s="266"/>
      <c r="S623" s="266"/>
      <c r="T623" s="266"/>
      <c r="U623" s="266"/>
      <c r="V623" s="266"/>
      <c r="W623" s="266"/>
      <c r="X623" s="267"/>
      <c r="Y623" s="194"/>
      <c r="Z623" s="192"/>
      <c r="AA623" s="192"/>
      <c r="AB623" s="193"/>
      <c r="AC623" s="761"/>
      <c r="AD623" s="762"/>
      <c r="AE623" s="762"/>
      <c r="AF623" s="763"/>
    </row>
    <row r="624" spans="1:36" s="109" customFormat="1" ht="18.75" customHeight="1" x14ac:dyDescent="0.2">
      <c r="A624" s="129"/>
      <c r="B624" s="116"/>
      <c r="C624" s="130"/>
      <c r="D624" s="131"/>
      <c r="E624" s="121"/>
      <c r="F624" s="268"/>
      <c r="G624" s="133"/>
      <c r="H624" s="691" t="s">
        <v>463</v>
      </c>
      <c r="I624" s="754" t="s">
        <v>383</v>
      </c>
      <c r="J624" s="755" t="s">
        <v>250</v>
      </c>
      <c r="K624" s="755"/>
      <c r="L624" s="756" t="s">
        <v>383</v>
      </c>
      <c r="M624" s="755" t="s">
        <v>267</v>
      </c>
      <c r="N624" s="755"/>
      <c r="O624" s="755"/>
      <c r="P624" s="135"/>
      <c r="Q624" s="135"/>
      <c r="R624" s="135"/>
      <c r="S624" s="135"/>
      <c r="T624" s="135"/>
      <c r="U624" s="135"/>
      <c r="V624" s="135"/>
      <c r="W624" s="135"/>
      <c r="X624" s="136"/>
      <c r="Y624" s="663" t="s">
        <v>383</v>
      </c>
      <c r="Z624" s="119" t="s">
        <v>249</v>
      </c>
      <c r="AA624" s="119"/>
      <c r="AB624" s="137"/>
      <c r="AC624" s="675"/>
      <c r="AD624" s="676"/>
      <c r="AE624" s="676"/>
      <c r="AF624" s="677"/>
      <c r="AG624" s="109" t="str">
        <f>"ser_code = '" &amp; IF(A629="■",43,"") &amp; "'"</f>
        <v>ser_code = ''</v>
      </c>
      <c r="AI624" s="109" t="str">
        <f>"43:field213:" &amp; IF(I624="■",1,IF(L624="■",2,0))</f>
        <v>43:field213:0</v>
      </c>
      <c r="AJ624" s="109" t="str">
        <f>"43:field203:" &amp; IF(Y624="■",1,IF(Y625="■",2,0))</f>
        <v>43:field203:0</v>
      </c>
    </row>
    <row r="625" spans="1:37" s="109" customFormat="1" ht="18.75" customHeight="1" x14ac:dyDescent="0.2">
      <c r="A625" s="139"/>
      <c r="B625" s="123"/>
      <c r="C625" s="140"/>
      <c r="D625" s="141"/>
      <c r="E625" s="128"/>
      <c r="F625" s="269"/>
      <c r="G625" s="143"/>
      <c r="H625" s="692"/>
      <c r="I625" s="720"/>
      <c r="J625" s="976"/>
      <c r="K625" s="976"/>
      <c r="L625" s="977"/>
      <c r="M625" s="976"/>
      <c r="N625" s="976"/>
      <c r="O625" s="976"/>
      <c r="P625" s="975"/>
      <c r="Q625" s="975"/>
      <c r="R625" s="975"/>
      <c r="S625" s="975"/>
      <c r="T625" s="975"/>
      <c r="U625" s="975"/>
      <c r="V625" s="975"/>
      <c r="W625" s="975"/>
      <c r="X625" s="270"/>
      <c r="Y625" s="664" t="s">
        <v>383</v>
      </c>
      <c r="Z625" s="614" t="s">
        <v>255</v>
      </c>
      <c r="AA625" s="614"/>
      <c r="AB625" s="148"/>
      <c r="AC625" s="678"/>
      <c r="AD625" s="679"/>
      <c r="AE625" s="679"/>
      <c r="AF625" s="680"/>
    </row>
    <row r="626" spans="1:37" s="109" customFormat="1" ht="18.75" customHeight="1" x14ac:dyDescent="0.2">
      <c r="A626" s="139"/>
      <c r="B626" s="123"/>
      <c r="C626" s="140"/>
      <c r="D626" s="141"/>
      <c r="E626" s="128"/>
      <c r="F626" s="269"/>
      <c r="G626" s="270"/>
      <c r="H626" s="667" t="s">
        <v>90</v>
      </c>
      <c r="I626" s="156" t="s">
        <v>781</v>
      </c>
      <c r="J626" s="157" t="s">
        <v>250</v>
      </c>
      <c r="K626" s="158"/>
      <c r="L626" s="160" t="s">
        <v>383</v>
      </c>
      <c r="M626" s="157" t="s">
        <v>267</v>
      </c>
      <c r="N626" s="158"/>
      <c r="O626" s="158"/>
      <c r="P626" s="158"/>
      <c r="Q626" s="158"/>
      <c r="R626" s="158"/>
      <c r="S626" s="158"/>
      <c r="T626" s="158"/>
      <c r="U626" s="158"/>
      <c r="V626" s="158"/>
      <c r="W626" s="158"/>
      <c r="X626" s="166"/>
      <c r="Y626" s="627"/>
      <c r="Z626" s="614"/>
      <c r="AA626" s="627"/>
      <c r="AB626" s="148"/>
      <c r="AC626" s="678"/>
      <c r="AD626" s="679"/>
      <c r="AE626" s="679"/>
      <c r="AF626" s="680"/>
      <c r="AI626" s="109" t="str">
        <f>"43:tokutiiki_code:" &amp; IF(I626="■",1,IF(L626="■",2,0))</f>
        <v>43:tokutiiki_code:1</v>
      </c>
    </row>
    <row r="627" spans="1:37" s="109" customFormat="1" ht="18.75" customHeight="1" x14ac:dyDescent="0.2">
      <c r="A627" s="139"/>
      <c r="B627" s="123"/>
      <c r="C627" s="140"/>
      <c r="D627" s="141"/>
      <c r="E627" s="128"/>
      <c r="F627" s="269"/>
      <c r="G627" s="270"/>
      <c r="H627" s="694" t="s">
        <v>209</v>
      </c>
      <c r="I627" s="707" t="s">
        <v>781</v>
      </c>
      <c r="J627" s="708" t="s">
        <v>256</v>
      </c>
      <c r="K627" s="708"/>
      <c r="L627" s="708"/>
      <c r="M627" s="707" t="s">
        <v>383</v>
      </c>
      <c r="N627" s="708" t="s">
        <v>257</v>
      </c>
      <c r="O627" s="708"/>
      <c r="P627" s="708"/>
      <c r="Q627" s="251"/>
      <c r="R627" s="251"/>
      <c r="S627" s="251"/>
      <c r="T627" s="251"/>
      <c r="U627" s="251"/>
      <c r="V627" s="251"/>
      <c r="W627" s="251"/>
      <c r="X627" s="252"/>
      <c r="Y627" s="627"/>
      <c r="Z627" s="614"/>
      <c r="AA627" s="627"/>
      <c r="AB627" s="148"/>
      <c r="AC627" s="678"/>
      <c r="AD627" s="679"/>
      <c r="AE627" s="679"/>
      <c r="AF627" s="680"/>
      <c r="AI627" s="109" t="str">
        <f>"43:chuusankanti_tiiki_code:" &amp; IF(I627="■",1,IF(M627="■",2,0))</f>
        <v>43:chuusankanti_tiiki_code:1</v>
      </c>
    </row>
    <row r="628" spans="1:37" s="109" customFormat="1" ht="18.75" customHeight="1" x14ac:dyDescent="0.2">
      <c r="A628" s="139"/>
      <c r="B628" s="123"/>
      <c r="C628" s="140"/>
      <c r="D628" s="141"/>
      <c r="E628" s="128"/>
      <c r="F628" s="269"/>
      <c r="G628" s="270"/>
      <c r="H628" s="693"/>
      <c r="I628" s="696"/>
      <c r="J628" s="698"/>
      <c r="K628" s="698"/>
      <c r="L628" s="698"/>
      <c r="M628" s="696"/>
      <c r="N628" s="698"/>
      <c r="O628" s="698"/>
      <c r="P628" s="698"/>
      <c r="Q628" s="179"/>
      <c r="R628" s="179"/>
      <c r="S628" s="179"/>
      <c r="T628" s="179"/>
      <c r="U628" s="179"/>
      <c r="V628" s="179"/>
      <c r="W628" s="179"/>
      <c r="X628" s="180"/>
      <c r="Y628" s="154"/>
      <c r="Z628" s="627"/>
      <c r="AA628" s="627"/>
      <c r="AB628" s="148"/>
      <c r="AC628" s="678"/>
      <c r="AD628" s="679"/>
      <c r="AE628" s="679"/>
      <c r="AF628" s="680"/>
    </row>
    <row r="629" spans="1:37" s="109" customFormat="1" ht="18.75" customHeight="1" x14ac:dyDescent="0.2">
      <c r="A629" s="125" t="s">
        <v>383</v>
      </c>
      <c r="B629" s="123">
        <v>43</v>
      </c>
      <c r="C629" s="140" t="s">
        <v>398</v>
      </c>
      <c r="D629" s="141"/>
      <c r="E629" s="128"/>
      <c r="F629" s="269"/>
      <c r="G629" s="270"/>
      <c r="H629" s="694" t="s">
        <v>210</v>
      </c>
      <c r="I629" s="725" t="s">
        <v>781</v>
      </c>
      <c r="J629" s="726" t="s">
        <v>256</v>
      </c>
      <c r="K629" s="726"/>
      <c r="L629" s="726"/>
      <c r="M629" s="727" t="s">
        <v>383</v>
      </c>
      <c r="N629" s="708" t="s">
        <v>257</v>
      </c>
      <c r="O629" s="708"/>
      <c r="P629" s="708"/>
      <c r="Q629" s="251"/>
      <c r="R629" s="251"/>
      <c r="S629" s="251"/>
      <c r="T629" s="251"/>
      <c r="U629" s="251"/>
      <c r="V629" s="251"/>
      <c r="W629" s="251"/>
      <c r="X629" s="252"/>
      <c r="Y629" s="154"/>
      <c r="Z629" s="627"/>
      <c r="AA629" s="627"/>
      <c r="AB629" s="148"/>
      <c r="AC629" s="678"/>
      <c r="AD629" s="679"/>
      <c r="AE629" s="679"/>
      <c r="AF629" s="680"/>
      <c r="AI629" s="109" t="str">
        <f>"43:chuusankanti_kibo_code:" &amp; IF(I629="■",1,IF(M629="■",2,0))</f>
        <v>43:chuusankanti_kibo_code:1</v>
      </c>
    </row>
    <row r="630" spans="1:37" s="109" customFormat="1" ht="18.75" customHeight="1" x14ac:dyDescent="0.2">
      <c r="A630" s="139"/>
      <c r="B630" s="123"/>
      <c r="C630" s="140"/>
      <c r="D630" s="141"/>
      <c r="E630" s="128"/>
      <c r="F630" s="269"/>
      <c r="G630" s="270"/>
      <c r="H630" s="693"/>
      <c r="I630" s="725"/>
      <c r="J630" s="726"/>
      <c r="K630" s="726"/>
      <c r="L630" s="726"/>
      <c r="M630" s="727"/>
      <c r="N630" s="753"/>
      <c r="O630" s="753"/>
      <c r="P630" s="753"/>
      <c r="Q630" s="179"/>
      <c r="R630" s="179"/>
      <c r="S630" s="179"/>
      <c r="T630" s="179"/>
      <c r="U630" s="179"/>
      <c r="V630" s="179"/>
      <c r="W630" s="179"/>
      <c r="X630" s="180"/>
      <c r="Y630" s="154"/>
      <c r="Z630" s="627"/>
      <c r="AA630" s="627"/>
      <c r="AB630" s="148"/>
      <c r="AC630" s="678"/>
      <c r="AD630" s="679"/>
      <c r="AE630" s="679"/>
      <c r="AF630" s="680"/>
    </row>
    <row r="631" spans="1:37" s="109" customFormat="1" ht="18.75" customHeight="1" x14ac:dyDescent="0.2">
      <c r="A631" s="139"/>
      <c r="B631" s="123"/>
      <c r="C631" s="140"/>
      <c r="D631" s="141"/>
      <c r="E631" s="128"/>
      <c r="F631" s="269"/>
      <c r="G631" s="270"/>
      <c r="H631" s="667" t="s">
        <v>130</v>
      </c>
      <c r="I631" s="156" t="s">
        <v>383</v>
      </c>
      <c r="J631" s="157" t="s">
        <v>250</v>
      </c>
      <c r="K631" s="158"/>
      <c r="L631" s="160" t="s">
        <v>383</v>
      </c>
      <c r="M631" s="157" t="s">
        <v>267</v>
      </c>
      <c r="N631" s="158"/>
      <c r="O631" s="158"/>
      <c r="P631" s="158"/>
      <c r="Q631" s="158"/>
      <c r="R631" s="158"/>
      <c r="S631" s="158"/>
      <c r="T631" s="158"/>
      <c r="U631" s="158"/>
      <c r="V631" s="158"/>
      <c r="W631" s="158"/>
      <c r="X631" s="166"/>
      <c r="Y631" s="154"/>
      <c r="Z631" s="627"/>
      <c r="AA631" s="627"/>
      <c r="AB631" s="148"/>
      <c r="AC631" s="678"/>
      <c r="AD631" s="679"/>
      <c r="AE631" s="679"/>
      <c r="AF631" s="680"/>
      <c r="AI631" s="109" t="str">
        <f>"43:field162:" &amp; IF(I631="■",1,IF(L631="■",2,0))</f>
        <v>43:field162:0</v>
      </c>
    </row>
    <row r="632" spans="1:37" s="109" customFormat="1" ht="18.75" customHeight="1" x14ac:dyDescent="0.2">
      <c r="A632" s="139"/>
      <c r="B632" s="123"/>
      <c r="C632" s="140"/>
      <c r="D632" s="141"/>
      <c r="E632" s="128"/>
      <c r="F632" s="269"/>
      <c r="G632" s="270"/>
      <c r="H632" s="667" t="s">
        <v>64</v>
      </c>
      <c r="I632" s="156" t="s">
        <v>383</v>
      </c>
      <c r="J632" s="157" t="s">
        <v>250</v>
      </c>
      <c r="K632" s="157"/>
      <c r="L632" s="160" t="s">
        <v>383</v>
      </c>
      <c r="M632" s="157" t="s">
        <v>251</v>
      </c>
      <c r="N632" s="157"/>
      <c r="O632" s="160" t="s">
        <v>383</v>
      </c>
      <c r="P632" s="157" t="s">
        <v>252</v>
      </c>
      <c r="Q632" s="649"/>
      <c r="R632" s="160" t="s">
        <v>383</v>
      </c>
      <c r="S632" s="157" t="s">
        <v>253</v>
      </c>
      <c r="T632" s="158"/>
      <c r="U632" s="160" t="s">
        <v>383</v>
      </c>
      <c r="V632" s="157" t="s">
        <v>429</v>
      </c>
      <c r="W632" s="158"/>
      <c r="X632" s="166"/>
      <c r="Y632" s="154"/>
      <c r="Z632" s="627"/>
      <c r="AA632" s="627"/>
      <c r="AB632" s="148"/>
      <c r="AC632" s="678"/>
      <c r="AD632" s="679"/>
      <c r="AE632" s="679"/>
      <c r="AF632" s="680"/>
      <c r="AI632" s="109" t="str">
        <f>"43:tokuseibi_code:" &amp; IF(I632="■",1,IF(L632="■",2,IF(O632="■",3,IF(R632="■",4,IF(U632="■",5,0)))))</f>
        <v>43:tokuseibi_code:0</v>
      </c>
    </row>
    <row r="633" spans="1:37" s="109" customFormat="1" ht="18.75" customHeight="1" x14ac:dyDescent="0.2">
      <c r="A633" s="139"/>
      <c r="B633" s="123"/>
      <c r="C633" s="140"/>
      <c r="D633" s="141"/>
      <c r="E633" s="128"/>
      <c r="F633" s="269"/>
      <c r="G633" s="270"/>
      <c r="H633" s="668" t="s">
        <v>224</v>
      </c>
      <c r="I633" s="156" t="s">
        <v>383</v>
      </c>
      <c r="J633" s="157" t="s">
        <v>250</v>
      </c>
      <c r="K633" s="158"/>
      <c r="L633" s="160" t="s">
        <v>383</v>
      </c>
      <c r="M633" s="157" t="s">
        <v>267</v>
      </c>
      <c r="N633" s="158"/>
      <c r="O633" s="158"/>
      <c r="P633" s="158"/>
      <c r="Q633" s="158"/>
      <c r="R633" s="158"/>
      <c r="S633" s="158"/>
      <c r="T633" s="158"/>
      <c r="U633" s="158"/>
      <c r="V633" s="158"/>
      <c r="W633" s="158"/>
      <c r="X633" s="166"/>
      <c r="Y633" s="154"/>
      <c r="Z633" s="627"/>
      <c r="AA633" s="627"/>
      <c r="AB633" s="148"/>
      <c r="AC633" s="678"/>
      <c r="AD633" s="679"/>
      <c r="AE633" s="679"/>
      <c r="AF633" s="680"/>
      <c r="AI633" s="109" t="str">
        <f>"43:field192:" &amp; IF(I633="■",1,IF(L633="■",2,0))</f>
        <v>43:field192:0</v>
      </c>
    </row>
    <row r="634" spans="1:37" s="109" customFormat="1" ht="19.2" customHeight="1" x14ac:dyDescent="0.2">
      <c r="A634" s="139"/>
      <c r="B634" s="670"/>
      <c r="C634" s="140"/>
      <c r="D634" s="141"/>
      <c r="E634" s="128"/>
      <c r="F634" s="269"/>
      <c r="G634" s="270"/>
      <c r="H634" s="978" t="s">
        <v>144</v>
      </c>
      <c r="I634" s="979" t="s">
        <v>383</v>
      </c>
      <c r="J634" s="980" t="s">
        <v>250</v>
      </c>
      <c r="K634" s="981"/>
      <c r="L634" s="982" t="s">
        <v>383</v>
      </c>
      <c r="M634" s="980" t="s">
        <v>267</v>
      </c>
      <c r="N634" s="981"/>
      <c r="O634" s="981"/>
      <c r="P634" s="981"/>
      <c r="Q634" s="981"/>
      <c r="R634" s="981"/>
      <c r="S634" s="981"/>
      <c r="T634" s="981"/>
      <c r="U634" s="981"/>
      <c r="V634" s="981"/>
      <c r="W634" s="981"/>
      <c r="X634" s="983"/>
      <c r="Y634" s="154"/>
      <c r="Z634" s="627"/>
      <c r="AA634" s="627"/>
      <c r="AB634" s="148"/>
      <c r="AC634" s="678"/>
      <c r="AD634" s="679"/>
      <c r="AE634" s="679"/>
      <c r="AF634" s="680"/>
      <c r="AI634" s="109" t="str">
        <f>"43:field166:" &amp; IF(I634="■",1,IF(L634="■",2,0))</f>
        <v>43:field166:0</v>
      </c>
    </row>
    <row r="635" spans="1:37" s="621" customFormat="1" ht="18.75" customHeight="1" x14ac:dyDescent="0.2">
      <c r="A635" s="139"/>
      <c r="B635" s="670"/>
      <c r="C635" s="140"/>
      <c r="D635" s="141"/>
      <c r="E635" s="128"/>
      <c r="F635" s="269"/>
      <c r="G635" s="270"/>
      <c r="H635" s="640" t="s">
        <v>790</v>
      </c>
      <c r="I635" s="979" t="s">
        <v>383</v>
      </c>
      <c r="J635" s="623" t="s">
        <v>627</v>
      </c>
      <c r="K635" s="623"/>
      <c r="L635" s="982" t="s">
        <v>383</v>
      </c>
      <c r="M635" s="623" t="s">
        <v>635</v>
      </c>
      <c r="N635" s="625"/>
      <c r="O635" s="630"/>
      <c r="P635" s="630"/>
      <c r="Q635" s="625"/>
      <c r="R635" s="625"/>
      <c r="S635" s="625"/>
      <c r="T635" s="625"/>
      <c r="U635" s="625"/>
      <c r="V635" s="625"/>
      <c r="W635" s="625"/>
      <c r="X635" s="626"/>
      <c r="Y635" s="154"/>
      <c r="Z635" s="627"/>
      <c r="AA635" s="627"/>
      <c r="AB635" s="148"/>
      <c r="AC635" s="722"/>
      <c r="AD635" s="723"/>
      <c r="AE635" s="723"/>
      <c r="AF635" s="724"/>
    </row>
    <row r="636" spans="1:37" s="109" customFormat="1" ht="18.75" customHeight="1" x14ac:dyDescent="0.2">
      <c r="A636" s="129"/>
      <c r="B636" s="116"/>
      <c r="C636" s="272"/>
      <c r="D636" s="273"/>
      <c r="E636" s="121"/>
      <c r="F636" s="132"/>
      <c r="G636" s="133"/>
      <c r="H636" s="226" t="s">
        <v>97</v>
      </c>
      <c r="I636" s="196" t="s">
        <v>383</v>
      </c>
      <c r="J636" s="197" t="s">
        <v>300</v>
      </c>
      <c r="K636" s="198"/>
      <c r="L636" s="199"/>
      <c r="M636" s="200" t="s">
        <v>383</v>
      </c>
      <c r="N636" s="197" t="s">
        <v>301</v>
      </c>
      <c r="O636" s="201"/>
      <c r="P636" s="198"/>
      <c r="Q636" s="198"/>
      <c r="R636" s="198"/>
      <c r="S636" s="198"/>
      <c r="T636" s="198"/>
      <c r="U636" s="198"/>
      <c r="V636" s="198"/>
      <c r="W636" s="198"/>
      <c r="X636" s="263"/>
      <c r="Y636" s="138" t="s">
        <v>383</v>
      </c>
      <c r="Z636" s="119" t="s">
        <v>249</v>
      </c>
      <c r="AA636" s="119"/>
      <c r="AB636" s="137"/>
      <c r="AC636" s="138" t="s">
        <v>383</v>
      </c>
      <c r="AD636" s="119" t="s">
        <v>249</v>
      </c>
      <c r="AE636" s="119"/>
      <c r="AF636" s="137"/>
      <c r="AG636" s="109" t="str">
        <f>"ser_code = '" &amp; IF(A652="■",51,"") &amp; "'"</f>
        <v>ser_code = ''</v>
      </c>
      <c r="AI636" s="109" t="str">
        <f>"51:yakan_kinmu_code:" &amp; IF(I636="■",1,IF(M636="■",6,0))</f>
        <v>51:yakan_kinmu_code:0</v>
      </c>
      <c r="AJ636" s="109" t="str">
        <f>"51:field203:" &amp; IF(Y636="■",1,IF(Y637="■",2,0))</f>
        <v>51:field203:0</v>
      </c>
      <c r="AK636" s="109" t="str">
        <f>"51:waribiki_code:" &amp; IF(AC636="■",1,IF(AC637="■",2,0))</f>
        <v>51:waribiki_code:0</v>
      </c>
    </row>
    <row r="637" spans="1:37" s="109" customFormat="1" ht="18.75" customHeight="1" x14ac:dyDescent="0.2">
      <c r="A637" s="139"/>
      <c r="B637" s="123"/>
      <c r="C637" s="248"/>
      <c r="D637" s="249"/>
      <c r="E637" s="128"/>
      <c r="F637" s="142"/>
      <c r="G637" s="143"/>
      <c r="H637" s="242" t="s">
        <v>93</v>
      </c>
      <c r="I637" s="156" t="s">
        <v>383</v>
      </c>
      <c r="J637" s="157" t="s">
        <v>250</v>
      </c>
      <c r="K637" s="157"/>
      <c r="L637" s="160" t="s">
        <v>383</v>
      </c>
      <c r="M637" s="157" t="s">
        <v>281</v>
      </c>
      <c r="N637" s="157"/>
      <c r="O637" s="157"/>
      <c r="P637" s="160" t="s">
        <v>383</v>
      </c>
      <c r="Q637" s="207" t="s">
        <v>282</v>
      </c>
      <c r="R637" s="207"/>
      <c r="S637" s="207"/>
      <c r="T637" s="160" t="s">
        <v>383</v>
      </c>
      <c r="U637" s="207" t="s">
        <v>399</v>
      </c>
      <c r="V637" s="207"/>
      <c r="W637" s="158"/>
      <c r="X637" s="166"/>
      <c r="Y637" s="125" t="s">
        <v>383</v>
      </c>
      <c r="Z637" s="126" t="s">
        <v>255</v>
      </c>
      <c r="AA637" s="147"/>
      <c r="AB637" s="148"/>
      <c r="AC637" s="125" t="s">
        <v>383</v>
      </c>
      <c r="AD637" s="126" t="s">
        <v>255</v>
      </c>
      <c r="AE637" s="147"/>
      <c r="AF637" s="148"/>
      <c r="AG637" s="109" t="str">
        <f>"51:sisetukbn_code:" &amp; IF(D651="■",1,IF(D652="■",2,IF(D653="■",3,IF(D654="■",4,0))))</f>
        <v>51:sisetukbn_code:0</v>
      </c>
      <c r="AI637" s="109" t="str">
        <f>"51:"&amp;IF(AND(I637="□",L637="□",P637="□",T637="□"),"ketu_kangos_code:0",IF(I637="■","ketu_kangos_code:1:ketu_kshoku_code:1:ketu_ksiensou_code=1",IF(L637="■","ketu_kangos_code:2","ketu_kangos_code:1")
&amp;IF(P637="■",":ketu_kshoku_code:2",":ketu_kshoku_code:1")
&amp;IF(T637="■",":ketu_ksiensou_code:2",":ketu_ksiensou_code:1")))</f>
        <v>51:ketu_kangos_code:0</v>
      </c>
    </row>
    <row r="638" spans="1:37" s="109" customFormat="1" ht="18.75" customHeight="1" x14ac:dyDescent="0.2">
      <c r="A638" s="139"/>
      <c r="B638" s="123"/>
      <c r="C638" s="248"/>
      <c r="D638" s="249"/>
      <c r="E638" s="128"/>
      <c r="F638" s="142"/>
      <c r="G638" s="143"/>
      <c r="H638" s="242" t="s">
        <v>98</v>
      </c>
      <c r="I638" s="156" t="s">
        <v>383</v>
      </c>
      <c r="J638" s="157" t="s">
        <v>265</v>
      </c>
      <c r="K638" s="158"/>
      <c r="L638" s="159"/>
      <c r="M638" s="160" t="s">
        <v>383</v>
      </c>
      <c r="N638" s="157" t="s">
        <v>266</v>
      </c>
      <c r="O638" s="158"/>
      <c r="P638" s="158"/>
      <c r="Q638" s="158"/>
      <c r="R638" s="158"/>
      <c r="S638" s="158"/>
      <c r="T638" s="158"/>
      <c r="U638" s="158"/>
      <c r="V638" s="158"/>
      <c r="W638" s="158"/>
      <c r="X638" s="166"/>
      <c r="Y638" s="154"/>
      <c r="Z638" s="147"/>
      <c r="AA638" s="147"/>
      <c r="AB638" s="148"/>
      <c r="AC638" s="154"/>
      <c r="AD638" s="147"/>
      <c r="AE638" s="147"/>
      <c r="AF638" s="148"/>
      <c r="AI638" s="109" t="str">
        <f>"51:unitcare_code:" &amp; IF(I638="■",1,IF(M638="■",2,0))</f>
        <v>51:unitcare_code:0</v>
      </c>
    </row>
    <row r="639" spans="1:37" s="109" customFormat="1" ht="18.75" customHeight="1" x14ac:dyDescent="0.2">
      <c r="A639" s="139"/>
      <c r="B639" s="123"/>
      <c r="C639" s="248"/>
      <c r="D639" s="249"/>
      <c r="E639" s="128"/>
      <c r="F639" s="142"/>
      <c r="G639" s="143"/>
      <c r="H639" s="242" t="s">
        <v>107</v>
      </c>
      <c r="I639" s="156" t="s">
        <v>383</v>
      </c>
      <c r="J639" s="157" t="s">
        <v>395</v>
      </c>
      <c r="K639" s="158"/>
      <c r="L639" s="159"/>
      <c r="M639" s="160" t="s">
        <v>383</v>
      </c>
      <c r="N639" s="157" t="s">
        <v>396</v>
      </c>
      <c r="O639" s="158"/>
      <c r="P639" s="158"/>
      <c r="Q639" s="158"/>
      <c r="R639" s="158"/>
      <c r="S639" s="158"/>
      <c r="T639" s="158"/>
      <c r="U639" s="158"/>
      <c r="V639" s="158"/>
      <c r="W639" s="158"/>
      <c r="X639" s="166"/>
      <c r="Y639" s="154"/>
      <c r="Z639" s="147"/>
      <c r="AA639" s="147"/>
      <c r="AB639" s="148"/>
      <c r="AC639" s="154"/>
      <c r="AD639" s="147"/>
      <c r="AE639" s="147"/>
      <c r="AF639" s="148"/>
      <c r="AI639" s="109" t="str">
        <f>"51:sintaikousoku_code:" &amp; IF(I639="■",1,IF(M639="■",2,0))</f>
        <v>51:sintaikousoku_code:0</v>
      </c>
    </row>
    <row r="640" spans="1:37" s="109" customFormat="1" ht="18.75" customHeight="1" x14ac:dyDescent="0.2">
      <c r="A640" s="139"/>
      <c r="B640" s="123"/>
      <c r="C640" s="248"/>
      <c r="D640" s="249"/>
      <c r="E640" s="128"/>
      <c r="F640" s="142"/>
      <c r="G640" s="143"/>
      <c r="H640" s="242" t="s">
        <v>200</v>
      </c>
      <c r="I640" s="156" t="s">
        <v>383</v>
      </c>
      <c r="J640" s="157" t="s">
        <v>395</v>
      </c>
      <c r="K640" s="158"/>
      <c r="L640" s="159"/>
      <c r="M640" s="160" t="s">
        <v>383</v>
      </c>
      <c r="N640" s="157" t="s">
        <v>396</v>
      </c>
      <c r="O640" s="158"/>
      <c r="P640" s="158"/>
      <c r="Q640" s="158"/>
      <c r="R640" s="158"/>
      <c r="S640" s="158"/>
      <c r="T640" s="158"/>
      <c r="U640" s="158"/>
      <c r="V640" s="158"/>
      <c r="W640" s="158"/>
      <c r="X640" s="166"/>
      <c r="Y640" s="154"/>
      <c r="Z640" s="147"/>
      <c r="AA640" s="147"/>
      <c r="AB640" s="148"/>
      <c r="AC640" s="154"/>
      <c r="AD640" s="147"/>
      <c r="AE640" s="147"/>
      <c r="AF640" s="148"/>
      <c r="AI640" s="109" t="str">
        <f>"51:field208:" &amp; IF(I640="■",1,IF(M640="■",2,0))</f>
        <v>51:field208:0</v>
      </c>
    </row>
    <row r="641" spans="1:35" s="109" customFormat="1" ht="19.5" customHeight="1" x14ac:dyDescent="0.2">
      <c r="A641" s="139"/>
      <c r="B641" s="123"/>
      <c r="C641" s="140"/>
      <c r="D641" s="141"/>
      <c r="E641" s="128"/>
      <c r="F641" s="142"/>
      <c r="G641" s="143"/>
      <c r="H641" s="155" t="s">
        <v>430</v>
      </c>
      <c r="I641" s="156" t="s">
        <v>383</v>
      </c>
      <c r="J641" s="157" t="s">
        <v>395</v>
      </c>
      <c r="K641" s="158"/>
      <c r="L641" s="159"/>
      <c r="M641" s="160" t="s">
        <v>383</v>
      </c>
      <c r="N641" s="157" t="s">
        <v>431</v>
      </c>
      <c r="O641" s="161"/>
      <c r="P641" s="157"/>
      <c r="Q641" s="162"/>
      <c r="R641" s="162"/>
      <c r="S641" s="162"/>
      <c r="T641" s="162"/>
      <c r="U641" s="162"/>
      <c r="V641" s="162"/>
      <c r="W641" s="162"/>
      <c r="X641" s="163"/>
      <c r="Y641" s="147"/>
      <c r="Z641" s="147"/>
      <c r="AA641" s="147"/>
      <c r="AB641" s="148"/>
      <c r="AC641" s="154"/>
      <c r="AD641" s="147"/>
      <c r="AE641" s="147"/>
      <c r="AF641" s="148"/>
      <c r="AI641" s="109" t="str">
        <f>"51:field223:" &amp; IF(I641="■",1,IF(M641="■",2,0))</f>
        <v>51:field223:0</v>
      </c>
    </row>
    <row r="642" spans="1:35" s="109" customFormat="1" ht="19.5" customHeight="1" x14ac:dyDescent="0.2">
      <c r="A642" s="139"/>
      <c r="B642" s="123"/>
      <c r="C642" s="140"/>
      <c r="D642" s="141"/>
      <c r="E642" s="128"/>
      <c r="F642" s="142"/>
      <c r="G642" s="143"/>
      <c r="H642" s="155" t="s">
        <v>448</v>
      </c>
      <c r="I642" s="156" t="s">
        <v>383</v>
      </c>
      <c r="J642" s="157" t="s">
        <v>395</v>
      </c>
      <c r="K642" s="158"/>
      <c r="L642" s="159"/>
      <c r="M642" s="160" t="s">
        <v>383</v>
      </c>
      <c r="N642" s="157" t="s">
        <v>431</v>
      </c>
      <c r="O642" s="161"/>
      <c r="P642" s="157"/>
      <c r="Q642" s="162"/>
      <c r="R642" s="162"/>
      <c r="S642" s="162"/>
      <c r="T642" s="162"/>
      <c r="U642" s="162"/>
      <c r="V642" s="162"/>
      <c r="W642" s="162"/>
      <c r="X642" s="163"/>
      <c r="Y642" s="147"/>
      <c r="Z642" s="147"/>
      <c r="AA642" s="147"/>
      <c r="AB642" s="148"/>
      <c r="AC642" s="154"/>
      <c r="AD642" s="147"/>
      <c r="AE642" s="147"/>
      <c r="AF642" s="148"/>
      <c r="AI642" s="109" t="str">
        <f>"51:field232:" &amp; IF(I642="■",1,IF(M642="■",2,0))</f>
        <v>51:field232:0</v>
      </c>
    </row>
    <row r="643" spans="1:35" s="109" customFormat="1" ht="37.5" customHeight="1" x14ac:dyDescent="0.2">
      <c r="A643" s="139"/>
      <c r="B643" s="123"/>
      <c r="C643" s="248"/>
      <c r="D643" s="249"/>
      <c r="E643" s="128"/>
      <c r="F643" s="142"/>
      <c r="G643" s="143"/>
      <c r="H643" s="164" t="s">
        <v>202</v>
      </c>
      <c r="I643" s="150" t="s">
        <v>383</v>
      </c>
      <c r="J643" s="169" t="s">
        <v>250</v>
      </c>
      <c r="K643" s="179"/>
      <c r="L643" s="203" t="s">
        <v>383</v>
      </c>
      <c r="M643" s="169" t="s">
        <v>267</v>
      </c>
      <c r="N643" s="157"/>
      <c r="O643" s="157"/>
      <c r="P643" s="157"/>
      <c r="Q643" s="157"/>
      <c r="R643" s="157"/>
      <c r="S643" s="157"/>
      <c r="T643" s="157"/>
      <c r="U643" s="157"/>
      <c r="V643" s="157"/>
      <c r="W643" s="157"/>
      <c r="X643" s="165"/>
      <c r="Y643" s="154"/>
      <c r="Z643" s="147"/>
      <c r="AA643" s="147"/>
      <c r="AB643" s="148"/>
      <c r="AC643" s="154"/>
      <c r="AD643" s="147"/>
      <c r="AE643" s="147"/>
      <c r="AF643" s="148"/>
      <c r="AI643" s="109" t="str">
        <f>"51:field206:" &amp; IF(I643="■",1,IF(L643="■",2,0))</f>
        <v>51:field206:0</v>
      </c>
    </row>
    <row r="644" spans="1:35" s="109" customFormat="1" ht="18.75" customHeight="1" x14ac:dyDescent="0.2">
      <c r="A644" s="139"/>
      <c r="B644" s="123"/>
      <c r="C644" s="248"/>
      <c r="D644" s="249"/>
      <c r="E644" s="128"/>
      <c r="F644" s="142"/>
      <c r="G644" s="143"/>
      <c r="H644" s="242" t="s">
        <v>115</v>
      </c>
      <c r="I644" s="150" t="s">
        <v>383</v>
      </c>
      <c r="J644" s="169" t="s">
        <v>250</v>
      </c>
      <c r="K644" s="179"/>
      <c r="L644" s="203" t="s">
        <v>383</v>
      </c>
      <c r="M644" s="169" t="s">
        <v>267</v>
      </c>
      <c r="N644" s="158"/>
      <c r="O644" s="158"/>
      <c r="P644" s="158"/>
      <c r="Q644" s="158"/>
      <c r="R644" s="158"/>
      <c r="S644" s="158"/>
      <c r="T644" s="158"/>
      <c r="U644" s="158"/>
      <c r="V644" s="158"/>
      <c r="W644" s="158"/>
      <c r="X644" s="166"/>
      <c r="Y644" s="154"/>
      <c r="Z644" s="147"/>
      <c r="AA644" s="147"/>
      <c r="AB644" s="148"/>
      <c r="AC644" s="154"/>
      <c r="AD644" s="147"/>
      <c r="AE644" s="147"/>
      <c r="AF644" s="148"/>
      <c r="AI644" s="109" t="str">
        <f>"51:nitijyouseikatu_code:" &amp; IF(I644="■",1,IF(L644="■",2,0))</f>
        <v>51:nitijyouseikatu_code:0</v>
      </c>
    </row>
    <row r="645" spans="1:35" s="109" customFormat="1" ht="37.5" customHeight="1" x14ac:dyDescent="0.2">
      <c r="A645" s="139"/>
      <c r="B645" s="123"/>
      <c r="C645" s="248"/>
      <c r="D645" s="249"/>
      <c r="E645" s="128"/>
      <c r="F645" s="142"/>
      <c r="G645" s="143"/>
      <c r="H645" s="164" t="s">
        <v>237</v>
      </c>
      <c r="I645" s="150" t="s">
        <v>383</v>
      </c>
      <c r="J645" s="169" t="s">
        <v>250</v>
      </c>
      <c r="K645" s="179"/>
      <c r="L645" s="203" t="s">
        <v>383</v>
      </c>
      <c r="M645" s="169" t="s">
        <v>267</v>
      </c>
      <c r="N645" s="158"/>
      <c r="O645" s="158"/>
      <c r="P645" s="158"/>
      <c r="Q645" s="158"/>
      <c r="R645" s="158"/>
      <c r="S645" s="158"/>
      <c r="T645" s="158"/>
      <c r="U645" s="158"/>
      <c r="V645" s="158"/>
      <c r="W645" s="158"/>
      <c r="X645" s="166"/>
      <c r="Y645" s="154"/>
      <c r="Z645" s="147"/>
      <c r="AA645" s="147"/>
      <c r="AB645" s="148"/>
      <c r="AC645" s="154"/>
      <c r="AD645" s="147"/>
      <c r="AE645" s="147"/>
      <c r="AF645" s="148"/>
      <c r="AI645" s="109" t="str">
        <f>"51:field215:" &amp; IF(I645="■",1,IF(L645="■",2,0))</f>
        <v>51:field215:0</v>
      </c>
    </row>
    <row r="646" spans="1:35" s="109" customFormat="1" ht="18.75" customHeight="1" x14ac:dyDescent="0.2">
      <c r="A646" s="139"/>
      <c r="B646" s="123"/>
      <c r="C646" s="248"/>
      <c r="D646" s="249"/>
      <c r="E646" s="128"/>
      <c r="F646" s="142"/>
      <c r="G646" s="143"/>
      <c r="H646" s="242" t="s">
        <v>176</v>
      </c>
      <c r="I646" s="150" t="s">
        <v>383</v>
      </c>
      <c r="J646" s="169" t="s">
        <v>250</v>
      </c>
      <c r="K646" s="179"/>
      <c r="L646" s="203" t="s">
        <v>383</v>
      </c>
      <c r="M646" s="169" t="s">
        <v>267</v>
      </c>
      <c r="N646" s="157"/>
      <c r="O646" s="157"/>
      <c r="P646" s="157"/>
      <c r="Q646" s="157"/>
      <c r="R646" s="157"/>
      <c r="S646" s="157"/>
      <c r="T646" s="157"/>
      <c r="U646" s="157"/>
      <c r="V646" s="157"/>
      <c r="W646" s="157"/>
      <c r="X646" s="165"/>
      <c r="Y646" s="154"/>
      <c r="Z646" s="147"/>
      <c r="AA646" s="147"/>
      <c r="AB646" s="148"/>
      <c r="AC646" s="154"/>
      <c r="AD646" s="147"/>
      <c r="AE646" s="147"/>
      <c r="AF646" s="148"/>
      <c r="AI646" s="109" t="str">
        <f>"51:field200:" &amp; IF(I646="■",1,IF(L646="■",2,0))</f>
        <v>51:field200:0</v>
      </c>
    </row>
    <row r="647" spans="1:35" s="109" customFormat="1" ht="18.75" customHeight="1" x14ac:dyDescent="0.2">
      <c r="A647" s="139"/>
      <c r="B647" s="123"/>
      <c r="C647" s="248"/>
      <c r="D647" s="249"/>
      <c r="E647" s="128"/>
      <c r="F647" s="142"/>
      <c r="G647" s="143"/>
      <c r="H647" s="242" t="s">
        <v>177</v>
      </c>
      <c r="I647" s="150" t="s">
        <v>383</v>
      </c>
      <c r="J647" s="169" t="s">
        <v>250</v>
      </c>
      <c r="K647" s="179"/>
      <c r="L647" s="203" t="s">
        <v>383</v>
      </c>
      <c r="M647" s="169" t="s">
        <v>267</v>
      </c>
      <c r="N647" s="157"/>
      <c r="O647" s="157"/>
      <c r="P647" s="157"/>
      <c r="Q647" s="157"/>
      <c r="R647" s="157"/>
      <c r="S647" s="157"/>
      <c r="T647" s="157"/>
      <c r="U647" s="157"/>
      <c r="V647" s="157"/>
      <c r="W647" s="157"/>
      <c r="X647" s="165"/>
      <c r="Y647" s="154"/>
      <c r="Z647" s="147"/>
      <c r="AA647" s="147"/>
      <c r="AB647" s="148"/>
      <c r="AC647" s="154"/>
      <c r="AD647" s="147"/>
      <c r="AE647" s="147"/>
      <c r="AF647" s="148"/>
      <c r="AI647" s="109" t="str">
        <f>"51:field201:" &amp; IF(I647="■",1,IF(L647="■",2,0))</f>
        <v>51:field201:0</v>
      </c>
    </row>
    <row r="648" spans="1:35" s="109" customFormat="1" ht="18.75" customHeight="1" x14ac:dyDescent="0.2">
      <c r="A648" s="139"/>
      <c r="B648" s="123"/>
      <c r="C648" s="248"/>
      <c r="D648" s="249"/>
      <c r="E648" s="128"/>
      <c r="F648" s="142"/>
      <c r="G648" s="143"/>
      <c r="H648" s="242" t="s">
        <v>111</v>
      </c>
      <c r="I648" s="156" t="s">
        <v>383</v>
      </c>
      <c r="J648" s="157" t="s">
        <v>250</v>
      </c>
      <c r="K648" s="157"/>
      <c r="L648" s="160" t="s">
        <v>383</v>
      </c>
      <c r="M648" s="157" t="s">
        <v>304</v>
      </c>
      <c r="N648" s="157"/>
      <c r="O648" s="158"/>
      <c r="P648" s="158"/>
      <c r="Q648" s="160" t="s">
        <v>383</v>
      </c>
      <c r="R648" s="157" t="s">
        <v>400</v>
      </c>
      <c r="S648" s="158"/>
      <c r="T648" s="158"/>
      <c r="U648" s="158"/>
      <c r="V648" s="158"/>
      <c r="W648" s="158"/>
      <c r="X648" s="166"/>
      <c r="Y648" s="154"/>
      <c r="Z648" s="147"/>
      <c r="AA648" s="147"/>
      <c r="AB648" s="148"/>
      <c r="AC648" s="154"/>
      <c r="AD648" s="147"/>
      <c r="AE648" s="147"/>
      <c r="AF648" s="148"/>
      <c r="AI648" s="109" t="str">
        <f>"51:yakinhaiti_code:"&amp;IF(I648="■",1,IF(Q648="■",3,IF(L648="■",2,0)))</f>
        <v>51:yakinhaiti_code:0</v>
      </c>
    </row>
    <row r="649" spans="1:35" s="109" customFormat="1" ht="37.5" customHeight="1" x14ac:dyDescent="0.2">
      <c r="A649" s="139"/>
      <c r="B649" s="123"/>
      <c r="C649" s="248"/>
      <c r="D649" s="249"/>
      <c r="E649" s="128"/>
      <c r="F649" s="142"/>
      <c r="G649" s="143"/>
      <c r="H649" s="164" t="s">
        <v>231</v>
      </c>
      <c r="I649" s="150" t="s">
        <v>383</v>
      </c>
      <c r="J649" s="169" t="s">
        <v>250</v>
      </c>
      <c r="K649" s="179"/>
      <c r="L649" s="203" t="s">
        <v>383</v>
      </c>
      <c r="M649" s="169" t="s">
        <v>267</v>
      </c>
      <c r="N649" s="158"/>
      <c r="O649" s="158"/>
      <c r="P649" s="158"/>
      <c r="Q649" s="158"/>
      <c r="R649" s="158"/>
      <c r="S649" s="158"/>
      <c r="T649" s="158"/>
      <c r="U649" s="158"/>
      <c r="V649" s="158"/>
      <c r="W649" s="158"/>
      <c r="X649" s="166"/>
      <c r="Y649" s="154"/>
      <c r="Z649" s="147"/>
      <c r="AA649" s="147"/>
      <c r="AB649" s="148"/>
      <c r="AC649" s="154"/>
      <c r="AD649" s="147"/>
      <c r="AE649" s="147"/>
      <c r="AF649" s="148"/>
      <c r="AI649" s="109" t="str">
        <f>"51:field161:" &amp; IF(I649="■",1,IF(L649="■",2,0))</f>
        <v>51:field161:0</v>
      </c>
    </row>
    <row r="650" spans="1:35" s="109" customFormat="1" ht="18.75" customHeight="1" x14ac:dyDescent="0.2">
      <c r="A650" s="139"/>
      <c r="B650" s="123"/>
      <c r="C650" s="248"/>
      <c r="D650" s="249"/>
      <c r="E650" s="128"/>
      <c r="F650" s="142"/>
      <c r="G650" s="143"/>
      <c r="H650" s="242" t="s">
        <v>104</v>
      </c>
      <c r="I650" s="156" t="s">
        <v>383</v>
      </c>
      <c r="J650" s="157" t="s">
        <v>265</v>
      </c>
      <c r="K650" s="158"/>
      <c r="L650" s="158"/>
      <c r="M650" s="160" t="s">
        <v>383</v>
      </c>
      <c r="N650" s="157" t="s">
        <v>266</v>
      </c>
      <c r="O650" s="158"/>
      <c r="P650" s="158"/>
      <c r="Q650" s="158"/>
      <c r="R650" s="158"/>
      <c r="S650" s="158"/>
      <c r="T650" s="158"/>
      <c r="U650" s="158"/>
      <c r="V650" s="158"/>
      <c r="W650" s="158"/>
      <c r="X650" s="166"/>
      <c r="Y650" s="154"/>
      <c r="Z650" s="147"/>
      <c r="AA650" s="147"/>
      <c r="AB650" s="148"/>
      <c r="AC650" s="154"/>
      <c r="AD650" s="147"/>
      <c r="AE650" s="147"/>
      <c r="AF650" s="148"/>
      <c r="AI650" s="109" t="str">
        <f>"51:jyun_unit_code:" &amp; IF(I650="■",1,IF(M650="■",2,0))</f>
        <v>51:jyun_unit_code:0</v>
      </c>
    </row>
    <row r="651" spans="1:35" s="109" customFormat="1" ht="18.75" customHeight="1" x14ac:dyDescent="0.2">
      <c r="A651" s="139"/>
      <c r="B651" s="123"/>
      <c r="C651" s="248"/>
      <c r="D651" s="125" t="s">
        <v>383</v>
      </c>
      <c r="E651" s="128" t="s">
        <v>401</v>
      </c>
      <c r="F651" s="142"/>
      <c r="G651" s="143"/>
      <c r="H651" s="164" t="s">
        <v>183</v>
      </c>
      <c r="I651" s="156" t="s">
        <v>383</v>
      </c>
      <c r="J651" s="157" t="s">
        <v>250</v>
      </c>
      <c r="K651" s="157"/>
      <c r="L651" s="160" t="s">
        <v>383</v>
      </c>
      <c r="M651" s="157" t="s">
        <v>268</v>
      </c>
      <c r="N651" s="157"/>
      <c r="O651" s="160" t="s">
        <v>383</v>
      </c>
      <c r="P651" s="157" t="s">
        <v>269</v>
      </c>
      <c r="Q651" s="157"/>
      <c r="R651" s="157"/>
      <c r="S651" s="157"/>
      <c r="T651" s="157"/>
      <c r="U651" s="157"/>
      <c r="V651" s="157"/>
      <c r="W651" s="157"/>
      <c r="X651" s="165"/>
      <c r="Y651" s="154"/>
      <c r="Z651" s="147"/>
      <c r="AA651" s="147"/>
      <c r="AB651" s="148"/>
      <c r="AC651" s="154"/>
      <c r="AD651" s="147"/>
      <c r="AE651" s="147"/>
      <c r="AF651" s="148"/>
      <c r="AI651" s="109" t="str">
        <f>"51:field185:" &amp; IF(I651="■",1,IF(L651="■",3,IF(O651="■",2,0)))</f>
        <v>51:field185:0</v>
      </c>
    </row>
    <row r="652" spans="1:35" s="109" customFormat="1" ht="18.75" customHeight="1" x14ac:dyDescent="0.2">
      <c r="A652" s="125" t="s">
        <v>383</v>
      </c>
      <c r="B652" s="123">
        <v>51</v>
      </c>
      <c r="C652" s="248" t="s">
        <v>139</v>
      </c>
      <c r="D652" s="125" t="s">
        <v>383</v>
      </c>
      <c r="E652" s="128" t="s">
        <v>402</v>
      </c>
      <c r="F652" s="142"/>
      <c r="G652" s="143"/>
      <c r="H652" s="164" t="s">
        <v>234</v>
      </c>
      <c r="I652" s="150" t="s">
        <v>383</v>
      </c>
      <c r="J652" s="169" t="s">
        <v>250</v>
      </c>
      <c r="K652" s="179"/>
      <c r="L652" s="203" t="s">
        <v>383</v>
      </c>
      <c r="M652" s="169" t="s">
        <v>445</v>
      </c>
      <c r="N652" s="157"/>
      <c r="O652" s="160" t="s">
        <v>383</v>
      </c>
      <c r="P652" s="169" t="s">
        <v>450</v>
      </c>
      <c r="Q652" s="157"/>
      <c r="R652" s="203" t="s">
        <v>383</v>
      </c>
      <c r="S652" s="169" t="s">
        <v>451</v>
      </c>
      <c r="T652" s="157"/>
      <c r="U652" s="157"/>
      <c r="V652" s="157"/>
      <c r="W652" s="157"/>
      <c r="X652" s="165"/>
      <c r="Y652" s="154"/>
      <c r="Z652" s="147"/>
      <c r="AA652" s="147"/>
      <c r="AB652" s="148"/>
      <c r="AC652" s="154"/>
      <c r="AD652" s="147"/>
      <c r="AE652" s="147"/>
      <c r="AF652" s="148"/>
      <c r="AI652" s="109" t="str">
        <f>"51:kobetu_kunren_code:" &amp; IF(I652="■",1,IF(R652="■",5,IF(O652="■",4,IF(L652="■",3,0))))</f>
        <v>51:kobetu_kunren_code:0</v>
      </c>
    </row>
    <row r="653" spans="1:35" s="109" customFormat="1" ht="18.75" customHeight="1" x14ac:dyDescent="0.2">
      <c r="A653" s="139"/>
      <c r="B653" s="123"/>
      <c r="C653" s="248"/>
      <c r="D653" s="125" t="s">
        <v>383</v>
      </c>
      <c r="E653" s="128" t="s">
        <v>403</v>
      </c>
      <c r="F653" s="142"/>
      <c r="G653" s="143"/>
      <c r="H653" s="164" t="s">
        <v>167</v>
      </c>
      <c r="I653" s="150" t="s">
        <v>383</v>
      </c>
      <c r="J653" s="169" t="s">
        <v>250</v>
      </c>
      <c r="K653" s="179"/>
      <c r="L653" s="203" t="s">
        <v>383</v>
      </c>
      <c r="M653" s="169" t="s">
        <v>267</v>
      </c>
      <c r="N653" s="157"/>
      <c r="O653" s="157"/>
      <c r="P653" s="157"/>
      <c r="Q653" s="157"/>
      <c r="R653" s="157"/>
      <c r="S653" s="157"/>
      <c r="T653" s="157"/>
      <c r="U653" s="157"/>
      <c r="V653" s="157"/>
      <c r="W653" s="157"/>
      <c r="X653" s="165"/>
      <c r="Y653" s="154"/>
      <c r="Z653" s="147"/>
      <c r="AA653" s="147"/>
      <c r="AB653" s="148"/>
      <c r="AC653" s="154"/>
      <c r="AD653" s="147"/>
      <c r="AE653" s="147"/>
      <c r="AF653" s="148"/>
      <c r="AI653" s="109" t="str">
        <f>"51:field186:" &amp; IF(I653="■",1,IF(L653="■",2,0))</f>
        <v>51:field186:0</v>
      </c>
    </row>
    <row r="654" spans="1:35" s="109" customFormat="1" ht="18.75" customHeight="1" x14ac:dyDescent="0.2">
      <c r="A654" s="139"/>
      <c r="B654" s="123"/>
      <c r="C654" s="248"/>
      <c r="D654" s="125" t="s">
        <v>383</v>
      </c>
      <c r="E654" s="128" t="s">
        <v>404</v>
      </c>
      <c r="F654" s="142"/>
      <c r="G654" s="143"/>
      <c r="H654" s="245" t="s">
        <v>140</v>
      </c>
      <c r="I654" s="150" t="s">
        <v>383</v>
      </c>
      <c r="J654" s="169" t="s">
        <v>250</v>
      </c>
      <c r="K654" s="179"/>
      <c r="L654" s="203" t="s">
        <v>383</v>
      </c>
      <c r="M654" s="169" t="s">
        <v>267</v>
      </c>
      <c r="N654" s="158"/>
      <c r="O654" s="158"/>
      <c r="P654" s="158"/>
      <c r="Q654" s="158"/>
      <c r="R654" s="158"/>
      <c r="S654" s="158"/>
      <c r="T654" s="158"/>
      <c r="U654" s="158"/>
      <c r="V654" s="158"/>
      <c r="W654" s="158"/>
      <c r="X654" s="166"/>
      <c r="Y654" s="154"/>
      <c r="Z654" s="147"/>
      <c r="AA654" s="147"/>
      <c r="AB654" s="148"/>
      <c r="AC654" s="154"/>
      <c r="AD654" s="147"/>
      <c r="AE654" s="147"/>
      <c r="AF654" s="148"/>
      <c r="AI654" s="109" t="str">
        <f>"51:jyakuninti_uke_code:" &amp; IF(I654="■",1,IF(L654="■",2,0))</f>
        <v>51:jyakuninti_uke_code:0</v>
      </c>
    </row>
    <row r="655" spans="1:35" s="109" customFormat="1" ht="18.75" customHeight="1" x14ac:dyDescent="0.2">
      <c r="A655" s="139"/>
      <c r="B655" s="123"/>
      <c r="C655" s="248"/>
      <c r="D655" s="249"/>
      <c r="E655" s="128"/>
      <c r="F655" s="142"/>
      <c r="G655" s="143"/>
      <c r="H655" s="242" t="s">
        <v>105</v>
      </c>
      <c r="I655" s="150" t="s">
        <v>383</v>
      </c>
      <c r="J655" s="169" t="s">
        <v>250</v>
      </c>
      <c r="K655" s="179"/>
      <c r="L655" s="203" t="s">
        <v>383</v>
      </c>
      <c r="M655" s="169" t="s">
        <v>267</v>
      </c>
      <c r="N655" s="158"/>
      <c r="O655" s="158"/>
      <c r="P655" s="158"/>
      <c r="Q655" s="158"/>
      <c r="R655" s="158"/>
      <c r="S655" s="158"/>
      <c r="T655" s="158"/>
      <c r="U655" s="158"/>
      <c r="V655" s="158"/>
      <c r="W655" s="158"/>
      <c r="X655" s="166"/>
      <c r="Y655" s="154"/>
      <c r="Z655" s="147"/>
      <c r="AA655" s="147"/>
      <c r="AB655" s="148"/>
      <c r="AC655" s="154"/>
      <c r="AD655" s="147"/>
      <c r="AE655" s="147"/>
      <c r="AF655" s="148"/>
      <c r="AI655" s="109" t="str">
        <f>"51:jyosen_doctor_code:" &amp; IF(I655="■",1,IF(L655="■",2,0))</f>
        <v>51:jyosen_doctor_code:0</v>
      </c>
    </row>
    <row r="656" spans="1:35" s="109" customFormat="1" ht="18.75" customHeight="1" x14ac:dyDescent="0.2">
      <c r="A656" s="139"/>
      <c r="B656" s="123"/>
      <c r="C656" s="248"/>
      <c r="D656" s="249"/>
      <c r="E656" s="128"/>
      <c r="F656" s="142"/>
      <c r="G656" s="143"/>
      <c r="H656" s="242" t="s">
        <v>106</v>
      </c>
      <c r="I656" s="150" t="s">
        <v>383</v>
      </c>
      <c r="J656" s="169" t="s">
        <v>250</v>
      </c>
      <c r="K656" s="179"/>
      <c r="L656" s="203" t="s">
        <v>383</v>
      </c>
      <c r="M656" s="169" t="s">
        <v>267</v>
      </c>
      <c r="N656" s="158"/>
      <c r="O656" s="158"/>
      <c r="P656" s="158"/>
      <c r="Q656" s="158"/>
      <c r="R656" s="158"/>
      <c r="S656" s="158"/>
      <c r="T656" s="158"/>
      <c r="U656" s="158"/>
      <c r="V656" s="158"/>
      <c r="W656" s="158"/>
      <c r="X656" s="166"/>
      <c r="Y656" s="154"/>
      <c r="Z656" s="147"/>
      <c r="AA656" s="147"/>
      <c r="AB656" s="148"/>
      <c r="AC656" s="154"/>
      <c r="AD656" s="147"/>
      <c r="AE656" s="147"/>
      <c r="AF656" s="148"/>
      <c r="AI656" s="109" t="str">
        <f>"51:seisinsido_code:" &amp; IF(I656="■",1,IF(L656="■",2,0))</f>
        <v>51:seisinsido_code:0</v>
      </c>
    </row>
    <row r="657" spans="1:35" s="109" customFormat="1" ht="18.75" customHeight="1" x14ac:dyDescent="0.2">
      <c r="A657" s="139"/>
      <c r="B657" s="123"/>
      <c r="C657" s="248"/>
      <c r="D657" s="249"/>
      <c r="E657" s="128"/>
      <c r="F657" s="142"/>
      <c r="G657" s="143"/>
      <c r="H657" s="242" t="s">
        <v>589</v>
      </c>
      <c r="I657" s="156" t="s">
        <v>383</v>
      </c>
      <c r="J657" s="157" t="s">
        <v>250</v>
      </c>
      <c r="K657" s="157"/>
      <c r="L657" s="160" t="s">
        <v>383</v>
      </c>
      <c r="M657" s="157" t="s">
        <v>251</v>
      </c>
      <c r="N657" s="157"/>
      <c r="O657" s="160" t="s">
        <v>383</v>
      </c>
      <c r="P657" s="157" t="s">
        <v>252</v>
      </c>
      <c r="Q657" s="158"/>
      <c r="R657" s="158"/>
      <c r="S657" s="158"/>
      <c r="T657" s="158"/>
      <c r="U657" s="158"/>
      <c r="V657" s="158"/>
      <c r="W657" s="158"/>
      <c r="X657" s="166"/>
      <c r="Y657" s="154"/>
      <c r="Z657" s="147"/>
      <c r="AA657" s="147"/>
      <c r="AB657" s="148"/>
      <c r="AC657" s="154"/>
      <c r="AD657" s="147"/>
      <c r="AE657" s="147"/>
      <c r="AF657" s="148"/>
      <c r="AI657" s="109" t="str">
        <f>"51:shougai_code:" &amp; IF(I657="■",1,IF(L657="■",2,IF(O657="■",3,0)))</f>
        <v>51:shougai_code:0</v>
      </c>
    </row>
    <row r="658" spans="1:35" s="109" customFormat="1" ht="18.75" customHeight="1" x14ac:dyDescent="0.2">
      <c r="A658" s="139"/>
      <c r="B658" s="123"/>
      <c r="C658" s="248"/>
      <c r="D658" s="249"/>
      <c r="E658" s="128"/>
      <c r="F658" s="142"/>
      <c r="G658" s="143"/>
      <c r="H658" s="242" t="s">
        <v>199</v>
      </c>
      <c r="I658" s="150" t="s">
        <v>383</v>
      </c>
      <c r="J658" s="169" t="s">
        <v>250</v>
      </c>
      <c r="K658" s="179"/>
      <c r="L658" s="203" t="s">
        <v>383</v>
      </c>
      <c r="M658" s="169" t="s">
        <v>267</v>
      </c>
      <c r="N658" s="158"/>
      <c r="O658" s="158"/>
      <c r="P658" s="158"/>
      <c r="Q658" s="158"/>
      <c r="R658" s="158"/>
      <c r="S658" s="158"/>
      <c r="T658" s="158"/>
      <c r="U658" s="158"/>
      <c r="V658" s="158"/>
      <c r="W658" s="158"/>
      <c r="X658" s="166"/>
      <c r="Y658" s="154"/>
      <c r="Z658" s="147"/>
      <c r="AA658" s="147"/>
      <c r="AB658" s="148"/>
      <c r="AC658" s="154"/>
      <c r="AD658" s="147"/>
      <c r="AE658" s="147"/>
      <c r="AF658" s="148"/>
      <c r="AI658" s="109" t="str">
        <f>"51:field207:" &amp; IF(I658="■",1,IF(L658="■",2,0))</f>
        <v>51:field207:0</v>
      </c>
    </row>
    <row r="659" spans="1:35" s="109" customFormat="1" ht="18.75" customHeight="1" x14ac:dyDescent="0.2">
      <c r="A659" s="139"/>
      <c r="B659" s="123"/>
      <c r="C659" s="248"/>
      <c r="D659" s="249"/>
      <c r="E659" s="128"/>
      <c r="F659" s="142"/>
      <c r="G659" s="143"/>
      <c r="H659" s="242" t="s">
        <v>112</v>
      </c>
      <c r="I659" s="150" t="s">
        <v>383</v>
      </c>
      <c r="J659" s="169" t="s">
        <v>250</v>
      </c>
      <c r="K659" s="179"/>
      <c r="L659" s="203" t="s">
        <v>383</v>
      </c>
      <c r="M659" s="169" t="s">
        <v>267</v>
      </c>
      <c r="N659" s="158"/>
      <c r="O659" s="158"/>
      <c r="P659" s="158"/>
      <c r="Q659" s="158"/>
      <c r="R659" s="158"/>
      <c r="S659" s="158"/>
      <c r="T659" s="158"/>
      <c r="U659" s="158"/>
      <c r="V659" s="158"/>
      <c r="W659" s="158"/>
      <c r="X659" s="166"/>
      <c r="Y659" s="154"/>
      <c r="Z659" s="147"/>
      <c r="AA659" s="147"/>
      <c r="AB659" s="148"/>
      <c r="AC659" s="154"/>
      <c r="AD659" s="147"/>
      <c r="AE659" s="147"/>
      <c r="AF659" s="148"/>
      <c r="AI659" s="109" t="str">
        <f>"51:ryouyoushoku_code:" &amp; IF(I659="■",1,IF(L659="■",2,0))</f>
        <v>51:ryouyoushoku_code:0</v>
      </c>
    </row>
    <row r="660" spans="1:35" s="109" customFormat="1" ht="18.75" customHeight="1" x14ac:dyDescent="0.2">
      <c r="A660" s="139"/>
      <c r="B660" s="123"/>
      <c r="C660" s="248"/>
      <c r="D660" s="249"/>
      <c r="E660" s="128"/>
      <c r="F660" s="142"/>
      <c r="G660" s="143"/>
      <c r="H660" s="242" t="s">
        <v>173</v>
      </c>
      <c r="I660" s="150" t="s">
        <v>383</v>
      </c>
      <c r="J660" s="169" t="s">
        <v>250</v>
      </c>
      <c r="K660" s="179"/>
      <c r="L660" s="203" t="s">
        <v>383</v>
      </c>
      <c r="M660" s="169" t="s">
        <v>267</v>
      </c>
      <c r="N660" s="158"/>
      <c r="O660" s="158"/>
      <c r="P660" s="158"/>
      <c r="Q660" s="158"/>
      <c r="R660" s="158"/>
      <c r="S660" s="158"/>
      <c r="T660" s="158"/>
      <c r="U660" s="158"/>
      <c r="V660" s="158"/>
      <c r="W660" s="158"/>
      <c r="X660" s="166"/>
      <c r="Y660" s="154"/>
      <c r="Z660" s="147"/>
      <c r="AA660" s="147"/>
      <c r="AB660" s="148"/>
      <c r="AC660" s="154"/>
      <c r="AD660" s="147"/>
      <c r="AE660" s="147"/>
      <c r="AF660" s="148"/>
      <c r="AI660" s="109" t="str">
        <f>"51:field176:" &amp; IF(I660="■",1,IF(L660="■",2,0))</f>
        <v>51:field176:0</v>
      </c>
    </row>
    <row r="661" spans="1:35" s="109" customFormat="1" ht="18.75" customHeight="1" x14ac:dyDescent="0.2">
      <c r="A661" s="139"/>
      <c r="B661" s="123"/>
      <c r="C661" s="248"/>
      <c r="D661" s="249"/>
      <c r="E661" s="128"/>
      <c r="F661" s="142"/>
      <c r="G661" s="143"/>
      <c r="H661" s="242" t="s">
        <v>108</v>
      </c>
      <c r="I661" s="156" t="s">
        <v>383</v>
      </c>
      <c r="J661" s="157" t="s">
        <v>250</v>
      </c>
      <c r="K661" s="157"/>
      <c r="L661" s="160" t="s">
        <v>383</v>
      </c>
      <c r="M661" s="157" t="s">
        <v>251</v>
      </c>
      <c r="N661" s="157"/>
      <c r="O661" s="160" t="s">
        <v>383</v>
      </c>
      <c r="P661" s="157" t="s">
        <v>252</v>
      </c>
      <c r="Q661" s="158"/>
      <c r="R661" s="158"/>
      <c r="S661" s="158"/>
      <c r="T661" s="158"/>
      <c r="U661" s="158"/>
      <c r="V661" s="158"/>
      <c r="W661" s="158"/>
      <c r="X661" s="166"/>
      <c r="Y661" s="154"/>
      <c r="Z661" s="147"/>
      <c r="AA661" s="147"/>
      <c r="AB661" s="148"/>
      <c r="AC661" s="154"/>
      <c r="AD661" s="147"/>
      <c r="AE661" s="147"/>
      <c r="AF661" s="148"/>
      <c r="AI661" s="109" t="str">
        <f>"51:terminal_code:" &amp; IF(I661="■",1,IF(O661="■",3,IF(L661="■",2,0)))</f>
        <v>51:terminal_code:0</v>
      </c>
    </row>
    <row r="662" spans="1:35" s="109" customFormat="1" ht="18.75" customHeight="1" x14ac:dyDescent="0.2">
      <c r="A662" s="139"/>
      <c r="B662" s="123"/>
      <c r="C662" s="248"/>
      <c r="D662" s="249"/>
      <c r="E662" s="128"/>
      <c r="F662" s="142"/>
      <c r="G662" s="143"/>
      <c r="H662" s="242" t="s">
        <v>109</v>
      </c>
      <c r="I662" s="156" t="s">
        <v>383</v>
      </c>
      <c r="J662" s="157" t="s">
        <v>265</v>
      </c>
      <c r="K662" s="158"/>
      <c r="L662" s="159"/>
      <c r="M662" s="160" t="s">
        <v>383</v>
      </c>
      <c r="N662" s="157" t="s">
        <v>266</v>
      </c>
      <c r="O662" s="158"/>
      <c r="P662" s="158"/>
      <c r="Q662" s="158"/>
      <c r="R662" s="158"/>
      <c r="S662" s="158"/>
      <c r="T662" s="158"/>
      <c r="U662" s="158"/>
      <c r="V662" s="158"/>
      <c r="W662" s="158"/>
      <c r="X662" s="166"/>
      <c r="Y662" s="154"/>
      <c r="Z662" s="147"/>
      <c r="AA662" s="147"/>
      <c r="AB662" s="148"/>
      <c r="AC662" s="154"/>
      <c r="AD662" s="147"/>
      <c r="AE662" s="147"/>
      <c r="AF662" s="148"/>
      <c r="AI662" s="109" t="str">
        <f>"51:sougoriyo_code:" &amp; IF(I662="■",1,IF(M662="■",2,0))</f>
        <v>51:sougoriyo_code:0</v>
      </c>
    </row>
    <row r="663" spans="1:35" s="109" customFormat="1" ht="18.75" customHeight="1" x14ac:dyDescent="0.2">
      <c r="A663" s="139"/>
      <c r="B663" s="123"/>
      <c r="C663" s="248"/>
      <c r="D663" s="249"/>
      <c r="E663" s="128"/>
      <c r="F663" s="142"/>
      <c r="G663" s="143"/>
      <c r="H663" s="242" t="s">
        <v>116</v>
      </c>
      <c r="I663" s="156" t="s">
        <v>383</v>
      </c>
      <c r="J663" s="157" t="s">
        <v>250</v>
      </c>
      <c r="K663" s="157"/>
      <c r="L663" s="203" t="s">
        <v>383</v>
      </c>
      <c r="M663" s="157" t="s">
        <v>251</v>
      </c>
      <c r="N663" s="157"/>
      <c r="O663" s="160" t="s">
        <v>383</v>
      </c>
      <c r="P663" s="157" t="s">
        <v>252</v>
      </c>
      <c r="Q663" s="158"/>
      <c r="R663" s="158"/>
      <c r="S663" s="158"/>
      <c r="T663" s="158"/>
      <c r="U663" s="158"/>
      <c r="V663" s="158"/>
      <c r="W663" s="158"/>
      <c r="X663" s="166"/>
      <c r="Y663" s="154"/>
      <c r="Z663" s="147"/>
      <c r="AA663" s="147"/>
      <c r="AB663" s="148"/>
      <c r="AC663" s="154"/>
      <c r="AD663" s="147"/>
      <c r="AE663" s="147"/>
      <c r="AF663" s="148"/>
      <c r="AI663" s="109" t="str">
        <f>"51:ninti_senmoncare_code:" &amp; IF(I663="■",1,IF(O663="■",3,IF(L663="■",2,0)))</f>
        <v>51:ninti_senmoncare_code:0</v>
      </c>
    </row>
    <row r="664" spans="1:35" s="109" customFormat="1" ht="18.75" customHeight="1" x14ac:dyDescent="0.2">
      <c r="A664" s="139"/>
      <c r="B664" s="123"/>
      <c r="C664" s="248"/>
      <c r="D664" s="249"/>
      <c r="E664" s="128"/>
      <c r="F664" s="142"/>
      <c r="G664" s="143"/>
      <c r="H664" s="242" t="s">
        <v>447</v>
      </c>
      <c r="I664" s="156" t="s">
        <v>383</v>
      </c>
      <c r="J664" s="157" t="s">
        <v>250</v>
      </c>
      <c r="K664" s="157"/>
      <c r="L664" s="203" t="s">
        <v>383</v>
      </c>
      <c r="M664" s="157" t="s">
        <v>251</v>
      </c>
      <c r="N664" s="157"/>
      <c r="O664" s="160" t="s">
        <v>383</v>
      </c>
      <c r="P664" s="157" t="s">
        <v>252</v>
      </c>
      <c r="Q664" s="158"/>
      <c r="R664" s="158"/>
      <c r="S664" s="158"/>
      <c r="T664" s="158"/>
      <c r="U664" s="158"/>
      <c r="V664" s="158"/>
      <c r="W664" s="158"/>
      <c r="X664" s="166"/>
      <c r="Y664" s="154"/>
      <c r="Z664" s="147"/>
      <c r="AA664" s="147"/>
      <c r="AB664" s="148"/>
      <c r="AC664" s="154"/>
      <c r="AD664" s="147"/>
      <c r="AE664" s="147"/>
      <c r="AF664" s="148"/>
      <c r="AI664" s="109" t="str">
        <f>"51:field228:" &amp; IF(I664="■",1,IF(L664="■",2,IF(O664="■",3,0)))</f>
        <v>51:field228:0</v>
      </c>
    </row>
    <row r="665" spans="1:35" s="109" customFormat="1" ht="18.75" customHeight="1" x14ac:dyDescent="0.2">
      <c r="A665" s="139"/>
      <c r="B665" s="123"/>
      <c r="C665" s="248"/>
      <c r="D665" s="249"/>
      <c r="E665" s="128"/>
      <c r="F665" s="142"/>
      <c r="G665" s="143"/>
      <c r="H665" s="242" t="s">
        <v>190</v>
      </c>
      <c r="I665" s="150" t="s">
        <v>383</v>
      </c>
      <c r="J665" s="169" t="s">
        <v>250</v>
      </c>
      <c r="K665" s="179"/>
      <c r="L665" s="203" t="s">
        <v>383</v>
      </c>
      <c r="M665" s="169" t="s">
        <v>267</v>
      </c>
      <c r="N665" s="158"/>
      <c r="O665" s="158"/>
      <c r="P665" s="158"/>
      <c r="Q665" s="158"/>
      <c r="R665" s="158"/>
      <c r="S665" s="158"/>
      <c r="T665" s="158"/>
      <c r="U665" s="158"/>
      <c r="V665" s="158"/>
      <c r="W665" s="158"/>
      <c r="X665" s="166"/>
      <c r="Y665" s="154"/>
      <c r="Z665" s="147"/>
      <c r="AA665" s="147"/>
      <c r="AB665" s="148"/>
      <c r="AC665" s="154"/>
      <c r="AD665" s="147"/>
      <c r="AE665" s="147"/>
      <c r="AF665" s="148"/>
      <c r="AI665" s="109" t="str">
        <f>"51:field177:" &amp; IF(I665="■",1,IF(L665="■",2,0))</f>
        <v>51:field177:0</v>
      </c>
    </row>
    <row r="666" spans="1:35" s="109" customFormat="1" ht="18.75" customHeight="1" x14ac:dyDescent="0.2">
      <c r="A666" s="139"/>
      <c r="B666" s="123"/>
      <c r="C666" s="248"/>
      <c r="D666" s="249"/>
      <c r="E666" s="128"/>
      <c r="F666" s="142"/>
      <c r="G666" s="143"/>
      <c r="H666" s="239" t="s">
        <v>198</v>
      </c>
      <c r="I666" s="150" t="s">
        <v>383</v>
      </c>
      <c r="J666" s="169" t="s">
        <v>250</v>
      </c>
      <c r="K666" s="179"/>
      <c r="L666" s="203" t="s">
        <v>383</v>
      </c>
      <c r="M666" s="169" t="s">
        <v>267</v>
      </c>
      <c r="N666" s="158"/>
      <c r="O666" s="158"/>
      <c r="P666" s="158"/>
      <c r="Q666" s="158"/>
      <c r="R666" s="158"/>
      <c r="S666" s="158"/>
      <c r="T666" s="158"/>
      <c r="U666" s="158"/>
      <c r="V666" s="158"/>
      <c r="W666" s="158"/>
      <c r="X666" s="166"/>
      <c r="Y666" s="154"/>
      <c r="Z666" s="147"/>
      <c r="AA666" s="147"/>
      <c r="AB666" s="148"/>
      <c r="AC666" s="154"/>
      <c r="AD666" s="147"/>
      <c r="AE666" s="147"/>
      <c r="AF666" s="148"/>
      <c r="AI666" s="109" t="str">
        <f>"51:field210:" &amp; IF(I666="■",1,IF(L666="■",2,0))</f>
        <v>51:field210:0</v>
      </c>
    </row>
    <row r="667" spans="1:35" s="109" customFormat="1" ht="18.75" customHeight="1" x14ac:dyDescent="0.2">
      <c r="A667" s="139"/>
      <c r="B667" s="123"/>
      <c r="C667" s="248"/>
      <c r="D667" s="249"/>
      <c r="E667" s="128"/>
      <c r="F667" s="142"/>
      <c r="G667" s="143"/>
      <c r="H667" s="242" t="s">
        <v>225</v>
      </c>
      <c r="I667" s="150" t="s">
        <v>383</v>
      </c>
      <c r="J667" s="169" t="s">
        <v>250</v>
      </c>
      <c r="K667" s="179"/>
      <c r="L667" s="203" t="s">
        <v>383</v>
      </c>
      <c r="M667" s="169" t="s">
        <v>267</v>
      </c>
      <c r="N667" s="158"/>
      <c r="O667" s="158"/>
      <c r="P667" s="158"/>
      <c r="Q667" s="158"/>
      <c r="R667" s="158"/>
      <c r="S667" s="158"/>
      <c r="T667" s="158"/>
      <c r="U667" s="158"/>
      <c r="V667" s="158"/>
      <c r="W667" s="158"/>
      <c r="X667" s="166"/>
      <c r="Y667" s="154"/>
      <c r="Z667" s="147"/>
      <c r="AA667" s="147"/>
      <c r="AB667" s="148"/>
      <c r="AC667" s="154"/>
      <c r="AD667" s="147"/>
      <c r="AE667" s="147"/>
      <c r="AF667" s="148"/>
      <c r="AI667" s="109" t="str">
        <f>"51:field211:" &amp; IF(I667="■",1,IF(L667="■",2,0))</f>
        <v>51:field211:0</v>
      </c>
    </row>
    <row r="668" spans="1:35" s="109" customFormat="1" ht="18.75" customHeight="1" x14ac:dyDescent="0.2">
      <c r="A668" s="139"/>
      <c r="B668" s="123"/>
      <c r="C668" s="248"/>
      <c r="D668" s="249"/>
      <c r="E668" s="128"/>
      <c r="F668" s="142"/>
      <c r="G668" s="143"/>
      <c r="H668" s="242" t="s">
        <v>197</v>
      </c>
      <c r="I668" s="150" t="s">
        <v>383</v>
      </c>
      <c r="J668" s="169" t="s">
        <v>250</v>
      </c>
      <c r="K668" s="179"/>
      <c r="L668" s="203" t="s">
        <v>383</v>
      </c>
      <c r="M668" s="169" t="s">
        <v>267</v>
      </c>
      <c r="N668" s="158"/>
      <c r="O668" s="158"/>
      <c r="P668" s="158"/>
      <c r="Q668" s="158"/>
      <c r="R668" s="158"/>
      <c r="S668" s="158"/>
      <c r="T668" s="158"/>
      <c r="U668" s="158"/>
      <c r="V668" s="158"/>
      <c r="W668" s="158"/>
      <c r="X668" s="166"/>
      <c r="Y668" s="154"/>
      <c r="Z668" s="147"/>
      <c r="AA668" s="147"/>
      <c r="AB668" s="148"/>
      <c r="AC668" s="154"/>
      <c r="AD668" s="147"/>
      <c r="AE668" s="147"/>
      <c r="AF668" s="148"/>
      <c r="AI668" s="109" t="str">
        <f>"51:field212:" &amp; IF(I668="■",1,IF(L668="■",2,0))</f>
        <v>51:field212:0</v>
      </c>
    </row>
    <row r="669" spans="1:35" s="109" customFormat="1" ht="18.75" customHeight="1" x14ac:dyDescent="0.2">
      <c r="A669" s="139"/>
      <c r="B669" s="123"/>
      <c r="C669" s="248"/>
      <c r="D669" s="249"/>
      <c r="E669" s="128"/>
      <c r="F669" s="142"/>
      <c r="G669" s="143"/>
      <c r="H669" s="242" t="s">
        <v>206</v>
      </c>
      <c r="I669" s="150" t="s">
        <v>383</v>
      </c>
      <c r="J669" s="169" t="s">
        <v>250</v>
      </c>
      <c r="K669" s="179"/>
      <c r="L669" s="203" t="s">
        <v>383</v>
      </c>
      <c r="M669" s="169" t="s">
        <v>267</v>
      </c>
      <c r="N669" s="158"/>
      <c r="O669" s="158"/>
      <c r="P669" s="158"/>
      <c r="Q669" s="158"/>
      <c r="R669" s="158"/>
      <c r="S669" s="158"/>
      <c r="T669" s="158"/>
      <c r="U669" s="158"/>
      <c r="V669" s="158"/>
      <c r="W669" s="158"/>
      <c r="X669" s="166"/>
      <c r="Y669" s="154"/>
      <c r="Z669" s="147"/>
      <c r="AA669" s="147"/>
      <c r="AB669" s="148"/>
      <c r="AC669" s="154"/>
      <c r="AD669" s="147"/>
      <c r="AE669" s="147"/>
      <c r="AF669" s="148"/>
      <c r="AI669" s="109" t="str">
        <f>"51:field209:" &amp; IF(I669="■",1,IF(L669="■",2,0))</f>
        <v>51:field209:0</v>
      </c>
    </row>
    <row r="670" spans="1:35" s="109" customFormat="1" ht="18.75" customHeight="1" x14ac:dyDescent="0.2">
      <c r="A670" s="139"/>
      <c r="B670" s="123"/>
      <c r="C670" s="248"/>
      <c r="D670" s="249"/>
      <c r="E670" s="128"/>
      <c r="F670" s="142"/>
      <c r="G670" s="128"/>
      <c r="H670" s="242" t="s">
        <v>461</v>
      </c>
      <c r="I670" s="156" t="s">
        <v>383</v>
      </c>
      <c r="J670" s="157" t="s">
        <v>250</v>
      </c>
      <c r="K670" s="157"/>
      <c r="L670" s="203" t="s">
        <v>383</v>
      </c>
      <c r="M670" s="169" t="s">
        <v>267</v>
      </c>
      <c r="N670" s="157"/>
      <c r="O670" s="157"/>
      <c r="P670" s="157"/>
      <c r="Q670" s="158"/>
      <c r="R670" s="158"/>
      <c r="S670" s="158"/>
      <c r="T670" s="158"/>
      <c r="U670" s="158"/>
      <c r="V670" s="158"/>
      <c r="W670" s="158"/>
      <c r="X670" s="166"/>
      <c r="Y670" s="154"/>
      <c r="Z670" s="147"/>
      <c r="AA670" s="147"/>
      <c r="AB670" s="148"/>
      <c r="AC670" s="154"/>
      <c r="AD670" s="147"/>
      <c r="AE670" s="147"/>
      <c r="AF670" s="148"/>
      <c r="AI670" s="109" t="str">
        <f>"51:field226:" &amp; IF(I670="■",1,IF(L670="■",2,0))</f>
        <v>51:field226:0</v>
      </c>
    </row>
    <row r="671" spans="1:35" s="109" customFormat="1" ht="18.75" customHeight="1" x14ac:dyDescent="0.2">
      <c r="A671" s="139"/>
      <c r="B671" s="123"/>
      <c r="C671" s="248"/>
      <c r="D671" s="249"/>
      <c r="E671" s="128"/>
      <c r="F671" s="142"/>
      <c r="G671" s="128"/>
      <c r="H671" s="242" t="s">
        <v>462</v>
      </c>
      <c r="I671" s="156" t="s">
        <v>383</v>
      </c>
      <c r="J671" s="157" t="s">
        <v>250</v>
      </c>
      <c r="K671" s="157"/>
      <c r="L671" s="203" t="s">
        <v>383</v>
      </c>
      <c r="M671" s="169" t="s">
        <v>267</v>
      </c>
      <c r="N671" s="157"/>
      <c r="O671" s="157"/>
      <c r="P671" s="157"/>
      <c r="Q671" s="158"/>
      <c r="R671" s="158"/>
      <c r="S671" s="158"/>
      <c r="T671" s="158"/>
      <c r="U671" s="158"/>
      <c r="V671" s="158"/>
      <c r="W671" s="158"/>
      <c r="X671" s="166"/>
      <c r="Y671" s="154"/>
      <c r="Z671" s="147"/>
      <c r="AA671" s="147"/>
      <c r="AB671" s="148"/>
      <c r="AC671" s="154"/>
      <c r="AD671" s="147"/>
      <c r="AE671" s="147"/>
      <c r="AF671" s="148"/>
      <c r="AI671" s="109" t="str">
        <f>"51:field227:" &amp; IF(I671="■",1,IF(L671="■",2,0))</f>
        <v>51:field227:0</v>
      </c>
    </row>
    <row r="672" spans="1:35" s="109" customFormat="1" ht="18.75" customHeight="1" x14ac:dyDescent="0.2">
      <c r="A672" s="139"/>
      <c r="B672" s="123"/>
      <c r="C672" s="248"/>
      <c r="D672" s="249"/>
      <c r="E672" s="128"/>
      <c r="F672" s="142"/>
      <c r="G672" s="143"/>
      <c r="H672" s="250" t="s">
        <v>442</v>
      </c>
      <c r="I672" s="156" t="s">
        <v>383</v>
      </c>
      <c r="J672" s="157" t="s">
        <v>250</v>
      </c>
      <c r="K672" s="157"/>
      <c r="L672" s="203" t="s">
        <v>383</v>
      </c>
      <c r="M672" s="157" t="s">
        <v>251</v>
      </c>
      <c r="N672" s="157"/>
      <c r="O672" s="160" t="s">
        <v>383</v>
      </c>
      <c r="P672" s="157" t="s">
        <v>252</v>
      </c>
      <c r="Q672" s="162"/>
      <c r="R672" s="162"/>
      <c r="S672" s="162"/>
      <c r="T672" s="162"/>
      <c r="U672" s="251"/>
      <c r="V672" s="251"/>
      <c r="W672" s="251"/>
      <c r="X672" s="252"/>
      <c r="Y672" s="154"/>
      <c r="Z672" s="147"/>
      <c r="AA672" s="147"/>
      <c r="AB672" s="148"/>
      <c r="AC672" s="154"/>
      <c r="AD672" s="147"/>
      <c r="AE672" s="147"/>
      <c r="AF672" s="148"/>
      <c r="AI672" s="109" t="str">
        <f>"51:field225:" &amp; IF(I672="■",1,IF(L672="■",2,IF(O672="■",3,0)))</f>
        <v>51:field225:0</v>
      </c>
    </row>
    <row r="673" spans="1:36" s="109" customFormat="1" ht="18.75" customHeight="1" x14ac:dyDescent="0.2">
      <c r="A673" s="139"/>
      <c r="B673" s="670"/>
      <c r="C673" s="248"/>
      <c r="D673" s="249"/>
      <c r="E673" s="128"/>
      <c r="F673" s="142"/>
      <c r="G673" s="143"/>
      <c r="H673" s="242" t="s">
        <v>118</v>
      </c>
      <c r="I673" s="156" t="s">
        <v>383</v>
      </c>
      <c r="J673" s="157" t="s">
        <v>250</v>
      </c>
      <c r="K673" s="157"/>
      <c r="L673" s="203" t="s">
        <v>383</v>
      </c>
      <c r="M673" s="157" t="s">
        <v>258</v>
      </c>
      <c r="N673" s="157"/>
      <c r="O673" s="160" t="s">
        <v>383</v>
      </c>
      <c r="P673" s="157" t="s">
        <v>259</v>
      </c>
      <c r="Q673" s="207"/>
      <c r="R673" s="160" t="s">
        <v>383</v>
      </c>
      <c r="S673" s="157" t="s">
        <v>283</v>
      </c>
      <c r="T673" s="157"/>
      <c r="U673" s="157"/>
      <c r="V673" s="157"/>
      <c r="W673" s="157"/>
      <c r="X673" s="165"/>
      <c r="Y673" s="154"/>
      <c r="Z673" s="147"/>
      <c r="AA673" s="147"/>
      <c r="AB673" s="148"/>
      <c r="AC673" s="154"/>
      <c r="AD673" s="147"/>
      <c r="AE673" s="147"/>
      <c r="AF673" s="148"/>
      <c r="AI673" s="109" t="str">
        <f>"51:serteikyo_kyoka_code:" &amp; IF(I673="■",1,IF(L673="■",6,IF(O673="■",5,IF(R673="■",7,0))))</f>
        <v>51:serteikyo_kyoka_code:0</v>
      </c>
    </row>
    <row r="674" spans="1:36" s="621" customFormat="1" ht="18.75" customHeight="1" x14ac:dyDescent="0.2">
      <c r="A674" s="139"/>
      <c r="B674" s="670"/>
      <c r="C674" s="248"/>
      <c r="D674" s="249"/>
      <c r="E674" s="128"/>
      <c r="F674" s="142"/>
      <c r="G674" s="143"/>
      <c r="H674" s="713" t="s">
        <v>790</v>
      </c>
      <c r="I674" s="642" t="s">
        <v>383</v>
      </c>
      <c r="J674" s="616" t="s">
        <v>627</v>
      </c>
      <c r="K674" s="616"/>
      <c r="L674" s="615"/>
      <c r="M674" s="644" t="s">
        <v>383</v>
      </c>
      <c r="N674" s="616" t="s">
        <v>791</v>
      </c>
      <c r="O674" s="617"/>
      <c r="P674" s="615"/>
      <c r="Q674" s="644" t="s">
        <v>383</v>
      </c>
      <c r="R674" s="618" t="s">
        <v>802</v>
      </c>
      <c r="S674" s="615"/>
      <c r="T674" s="615"/>
      <c r="U674" s="615"/>
      <c r="V674" s="618"/>
      <c r="W674" s="619"/>
      <c r="X674" s="620"/>
      <c r="Y674" s="154"/>
      <c r="Z674" s="147"/>
      <c r="AA674" s="147"/>
      <c r="AB674" s="148"/>
      <c r="AC674" s="154"/>
      <c r="AD674" s="147"/>
      <c r="AE674" s="147"/>
      <c r="AF674" s="148"/>
    </row>
    <row r="675" spans="1:36" s="621" customFormat="1" ht="18.75" customHeight="1" x14ac:dyDescent="0.2">
      <c r="A675" s="139"/>
      <c r="B675" s="670"/>
      <c r="C675" s="248"/>
      <c r="D675" s="249"/>
      <c r="E675" s="128"/>
      <c r="F675" s="142"/>
      <c r="G675" s="143"/>
      <c r="H675" s="714"/>
      <c r="I675" s="643" t="s">
        <v>383</v>
      </c>
      <c r="J675" s="623" t="s">
        <v>803</v>
      </c>
      <c r="K675" s="623"/>
      <c r="L675" s="622"/>
      <c r="M675" s="211" t="s">
        <v>383</v>
      </c>
      <c r="N675" s="623" t="s">
        <v>804</v>
      </c>
      <c r="O675" s="624"/>
      <c r="P675" s="622"/>
      <c r="Q675" s="211" t="s">
        <v>383</v>
      </c>
      <c r="R675" s="623" t="s">
        <v>795</v>
      </c>
      <c r="S675" s="622"/>
      <c r="T675" s="623"/>
      <c r="U675" s="211" t="s">
        <v>383</v>
      </c>
      <c r="V675" s="623" t="s">
        <v>796</v>
      </c>
      <c r="W675" s="625"/>
      <c r="X675" s="626"/>
      <c r="Y675" s="154"/>
      <c r="Z675" s="147"/>
      <c r="AA675" s="147"/>
      <c r="AB675" s="148"/>
      <c r="AC675" s="154"/>
      <c r="AD675" s="147"/>
      <c r="AE675" s="147"/>
      <c r="AF675" s="148"/>
    </row>
    <row r="676" spans="1:36" s="109" customFormat="1" ht="18.75" customHeight="1" x14ac:dyDescent="0.2">
      <c r="A676" s="129"/>
      <c r="B676" s="116"/>
      <c r="C676" s="272"/>
      <c r="D676" s="273"/>
      <c r="E676" s="121"/>
      <c r="F676" s="132"/>
      <c r="G676" s="121"/>
      <c r="H676" s="226" t="s">
        <v>97</v>
      </c>
      <c r="I676" s="196" t="s">
        <v>383</v>
      </c>
      <c r="J676" s="197" t="s">
        <v>300</v>
      </c>
      <c r="K676" s="198"/>
      <c r="L676" s="199"/>
      <c r="M676" s="200" t="s">
        <v>383</v>
      </c>
      <c r="N676" s="197" t="s">
        <v>301</v>
      </c>
      <c r="O676" s="201"/>
      <c r="P676" s="198"/>
      <c r="Q676" s="198"/>
      <c r="R676" s="198"/>
      <c r="S676" s="198"/>
      <c r="T676" s="198"/>
      <c r="U676" s="198"/>
      <c r="V676" s="198"/>
      <c r="W676" s="198"/>
      <c r="X676" s="263"/>
      <c r="Y676" s="138" t="s">
        <v>383</v>
      </c>
      <c r="Z676" s="119" t="s">
        <v>249</v>
      </c>
      <c r="AA676" s="119"/>
      <c r="AB676" s="137"/>
      <c r="AC676" s="730"/>
      <c r="AD676" s="730"/>
      <c r="AE676" s="730"/>
      <c r="AF676" s="730"/>
      <c r="AG676" s="109" t="str">
        <f>"ser_code = '" &amp; IF(A691="■",52,"") &amp; "'"</f>
        <v>ser_code = ''</v>
      </c>
      <c r="AH676" s="109" t="str">
        <f>"52:jininkbn_code:" &amp; IF(F691="■",1,IF(F692="■",2,0))</f>
        <v>52:jininkbn_code:0</v>
      </c>
      <c r="AI676" s="109" t="str">
        <f>"52:yakan_kinmu_code:" &amp; IF(I676="■",1,IF(M676="■",6,0))</f>
        <v>52:yakan_kinmu_code:0</v>
      </c>
      <c r="AJ676" s="109" t="str">
        <f>"52:field203:" &amp; IF(Y676="■",1,IF(Y677="■",2,0))</f>
        <v>52:field203:0</v>
      </c>
    </row>
    <row r="677" spans="1:36" s="109" customFormat="1" ht="18.75" customHeight="1" x14ac:dyDescent="0.2">
      <c r="A677" s="139"/>
      <c r="B677" s="123"/>
      <c r="C677" s="248"/>
      <c r="D677" s="249"/>
      <c r="E677" s="128"/>
      <c r="F677" s="142"/>
      <c r="G677" s="128"/>
      <c r="H677" s="741" t="s">
        <v>93</v>
      </c>
      <c r="I677" s="175" t="s">
        <v>383</v>
      </c>
      <c r="J677" s="168" t="s">
        <v>250</v>
      </c>
      <c r="K677" s="168"/>
      <c r="L677" s="172"/>
      <c r="M677" s="206" t="s">
        <v>383</v>
      </c>
      <c r="N677" s="168" t="s">
        <v>289</v>
      </c>
      <c r="O677" s="168"/>
      <c r="P677" s="172"/>
      <c r="Q677" s="206" t="s">
        <v>383</v>
      </c>
      <c r="R677" s="172" t="s">
        <v>290</v>
      </c>
      <c r="S677" s="172"/>
      <c r="T677" s="172"/>
      <c r="U677" s="206" t="s">
        <v>383</v>
      </c>
      <c r="V677" s="172" t="s">
        <v>291</v>
      </c>
      <c r="W677" s="172"/>
      <c r="X677" s="209"/>
      <c r="Y677" s="125" t="s">
        <v>383</v>
      </c>
      <c r="Z677" s="126" t="s">
        <v>255</v>
      </c>
      <c r="AA677" s="147"/>
      <c r="AB677" s="148"/>
      <c r="AC677" s="732"/>
      <c r="AD677" s="732"/>
      <c r="AE677" s="732"/>
      <c r="AF677" s="732"/>
      <c r="AG677" s="109" t="str">
        <f>"52:sisetukbn_code:" &amp; IF(D691="■",1,0)</f>
        <v>52:sisetukbn_code:0</v>
      </c>
      <c r="AI677" s="109" t="str">
        <f>"52:"&amp;IF(AND(I677="□",M677="□",Q677="□",U677="□",I678="□",M678="□",Q678="□",I679="□"),"ketu_doctor_code:0",IF(I677="■","ketu_doctor_code:1:ketu_kangos_code:1:ketu_kshoku_code:1:ketu_rryoho_code:1:ketu_sryoho_code:1:ketu_ksiensou_code:1:ketu_gengo_code:1",IF(M677="■","ketu_doctor_code:2","ketu_doctor_code:1")
&amp;IF(Q677="■",":ketu_kangos_code:2",":ketu_kangos_code:1")
&amp;IF(U677="■",":ketu_kshoku_code:2",":ketu_kshoku_code:1")
&amp;IF(I678="■",":ketu_rryoho_code:2",":ketu_rryoho_code:1")
&amp;IF(M678="■",":ketu_sryoho_code:2",":ketu_sryoho_code:1")
&amp;IF(Q678="■",":ketu_ksiensou_code:2",":ketu_ksiensou_code:1")
&amp;IF(I679="■",":ketu_gengo_code:2",":ketu_gengo_code:1")))</f>
        <v>52:ketu_doctor_code:0</v>
      </c>
    </row>
    <row r="678" spans="1:36" s="109" customFormat="1" ht="18.75" customHeight="1" x14ac:dyDescent="0.2">
      <c r="A678" s="139"/>
      <c r="B678" s="123"/>
      <c r="C678" s="248"/>
      <c r="D678" s="249"/>
      <c r="E678" s="128"/>
      <c r="F678" s="142"/>
      <c r="G678" s="128"/>
      <c r="H678" s="706"/>
      <c r="I678" s="125" t="s">
        <v>383</v>
      </c>
      <c r="J678" s="126" t="s">
        <v>292</v>
      </c>
      <c r="K678" s="126"/>
      <c r="L678" s="108"/>
      <c r="M678" s="118" t="s">
        <v>383</v>
      </c>
      <c r="N678" s="126" t="s">
        <v>293</v>
      </c>
      <c r="O678" s="126"/>
      <c r="P678" s="108"/>
      <c r="Q678" s="118" t="s">
        <v>383</v>
      </c>
      <c r="R678" s="108" t="s">
        <v>405</v>
      </c>
      <c r="S678" s="108"/>
      <c r="T678" s="108"/>
      <c r="U678" s="108"/>
      <c r="V678" s="108"/>
      <c r="W678" s="108"/>
      <c r="X678" s="178"/>
      <c r="Y678" s="154"/>
      <c r="Z678" s="147"/>
      <c r="AA678" s="147"/>
      <c r="AB678" s="148"/>
      <c r="AC678" s="732"/>
      <c r="AD678" s="732"/>
      <c r="AE678" s="732"/>
      <c r="AF678" s="732"/>
    </row>
    <row r="679" spans="1:36" s="109" customFormat="1" ht="18.75" customHeight="1" x14ac:dyDescent="0.2">
      <c r="A679" s="139"/>
      <c r="B679" s="123"/>
      <c r="C679" s="248"/>
      <c r="D679" s="249"/>
      <c r="E679" s="128"/>
      <c r="F679" s="142"/>
      <c r="G679" s="128"/>
      <c r="H679" s="742"/>
      <c r="I679" s="150" t="s">
        <v>383</v>
      </c>
      <c r="J679" s="169" t="s">
        <v>406</v>
      </c>
      <c r="K679" s="169"/>
      <c r="L679" s="151"/>
      <c r="M679" s="169"/>
      <c r="N679" s="169"/>
      <c r="O679" s="169"/>
      <c r="P679" s="151"/>
      <c r="Q679" s="169"/>
      <c r="R679" s="151"/>
      <c r="S679" s="151"/>
      <c r="T679" s="151"/>
      <c r="U679" s="151"/>
      <c r="V679" s="151"/>
      <c r="W679" s="151"/>
      <c r="X679" s="238"/>
      <c r="Y679" s="154"/>
      <c r="Z679" s="147"/>
      <c r="AA679" s="147"/>
      <c r="AB679" s="148"/>
      <c r="AC679" s="732"/>
      <c r="AD679" s="732"/>
      <c r="AE679" s="732"/>
      <c r="AF679" s="732"/>
    </row>
    <row r="680" spans="1:36" s="109" customFormat="1" ht="18.75" customHeight="1" x14ac:dyDescent="0.2">
      <c r="A680" s="139"/>
      <c r="B680" s="123"/>
      <c r="C680" s="248"/>
      <c r="D680" s="249"/>
      <c r="E680" s="128"/>
      <c r="F680" s="142"/>
      <c r="G680" s="128"/>
      <c r="H680" s="242" t="s">
        <v>98</v>
      </c>
      <c r="I680" s="156" t="s">
        <v>383</v>
      </c>
      <c r="J680" s="157" t="s">
        <v>265</v>
      </c>
      <c r="K680" s="158"/>
      <c r="L680" s="159"/>
      <c r="M680" s="160" t="s">
        <v>383</v>
      </c>
      <c r="N680" s="157" t="s">
        <v>266</v>
      </c>
      <c r="O680" s="158"/>
      <c r="P680" s="158"/>
      <c r="Q680" s="158"/>
      <c r="R680" s="158"/>
      <c r="S680" s="158"/>
      <c r="T680" s="158"/>
      <c r="U680" s="158"/>
      <c r="V680" s="158"/>
      <c r="W680" s="158"/>
      <c r="X680" s="166"/>
      <c r="Y680" s="154"/>
      <c r="Z680" s="147"/>
      <c r="AA680" s="147"/>
      <c r="AB680" s="148"/>
      <c r="AC680" s="732"/>
      <c r="AD680" s="732"/>
      <c r="AE680" s="732"/>
      <c r="AF680" s="732"/>
      <c r="AI680" s="109" t="str">
        <f>"52:unitcare_code:" &amp; IF(I680="■",1,IF(M680="■",2,0))</f>
        <v>52:unitcare_code:0</v>
      </c>
    </row>
    <row r="681" spans="1:36" s="109" customFormat="1" ht="18.75" customHeight="1" x14ac:dyDescent="0.2">
      <c r="A681" s="139"/>
      <c r="B681" s="123"/>
      <c r="C681" s="248"/>
      <c r="D681" s="249"/>
      <c r="E681" s="128"/>
      <c r="F681" s="142"/>
      <c r="G681" s="128"/>
      <c r="H681" s="242" t="s">
        <v>107</v>
      </c>
      <c r="I681" s="156" t="s">
        <v>383</v>
      </c>
      <c r="J681" s="157" t="s">
        <v>395</v>
      </c>
      <c r="K681" s="158"/>
      <c r="L681" s="159"/>
      <c r="M681" s="160" t="s">
        <v>383</v>
      </c>
      <c r="N681" s="157" t="s">
        <v>396</v>
      </c>
      <c r="O681" s="158"/>
      <c r="P681" s="158"/>
      <c r="Q681" s="158"/>
      <c r="R681" s="158"/>
      <c r="S681" s="158"/>
      <c r="T681" s="158"/>
      <c r="U681" s="158"/>
      <c r="V681" s="158"/>
      <c r="W681" s="158"/>
      <c r="X681" s="166"/>
      <c r="Y681" s="154"/>
      <c r="Z681" s="147"/>
      <c r="AA681" s="147"/>
      <c r="AB681" s="148"/>
      <c r="AC681" s="732"/>
      <c r="AD681" s="732"/>
      <c r="AE681" s="732"/>
      <c r="AF681" s="732"/>
      <c r="AI681" s="109" t="str">
        <f>"52:sintaikousoku_code:" &amp; IF(I681="■",1,IF(M681="■",2,0))</f>
        <v>52:sintaikousoku_code:0</v>
      </c>
    </row>
    <row r="682" spans="1:36" s="109" customFormat="1" ht="18.75" customHeight="1" x14ac:dyDescent="0.2">
      <c r="A682" s="139"/>
      <c r="B682" s="123"/>
      <c r="C682" s="248"/>
      <c r="D682" s="249"/>
      <c r="E682" s="128"/>
      <c r="F682" s="142"/>
      <c r="G682" s="128"/>
      <c r="H682" s="242" t="s">
        <v>200</v>
      </c>
      <c r="I682" s="156" t="s">
        <v>383</v>
      </c>
      <c r="J682" s="157" t="s">
        <v>395</v>
      </c>
      <c r="K682" s="158"/>
      <c r="L682" s="159"/>
      <c r="M682" s="160" t="s">
        <v>383</v>
      </c>
      <c r="N682" s="157" t="s">
        <v>396</v>
      </c>
      <c r="O682" s="158"/>
      <c r="P682" s="158"/>
      <c r="Q682" s="158"/>
      <c r="R682" s="158"/>
      <c r="S682" s="158"/>
      <c r="T682" s="158"/>
      <c r="U682" s="158"/>
      <c r="V682" s="158"/>
      <c r="W682" s="158"/>
      <c r="X682" s="166"/>
      <c r="Y682" s="154"/>
      <c r="Z682" s="147"/>
      <c r="AA682" s="147"/>
      <c r="AB682" s="148"/>
      <c r="AC682" s="732"/>
      <c r="AD682" s="732"/>
      <c r="AE682" s="732"/>
      <c r="AF682" s="732"/>
      <c r="AI682" s="109" t="str">
        <f>"52:field208:" &amp; IF(I682="■",1,IF(M682="■",2,0))</f>
        <v>52:field208:0</v>
      </c>
    </row>
    <row r="683" spans="1:36" s="109" customFormat="1" ht="19.5" customHeight="1" x14ac:dyDescent="0.2">
      <c r="A683" s="139"/>
      <c r="B683" s="123"/>
      <c r="C683" s="140"/>
      <c r="D683" s="141"/>
      <c r="E683" s="128"/>
      <c r="F683" s="142"/>
      <c r="G683" s="143"/>
      <c r="H683" s="155" t="s">
        <v>430</v>
      </c>
      <c r="I683" s="156" t="s">
        <v>383</v>
      </c>
      <c r="J683" s="157" t="s">
        <v>395</v>
      </c>
      <c r="K683" s="158"/>
      <c r="L683" s="159"/>
      <c r="M683" s="160" t="s">
        <v>383</v>
      </c>
      <c r="N683" s="157" t="s">
        <v>431</v>
      </c>
      <c r="O683" s="161"/>
      <c r="P683" s="157"/>
      <c r="Q683" s="162"/>
      <c r="R683" s="162"/>
      <c r="S683" s="162"/>
      <c r="T683" s="162"/>
      <c r="U683" s="162"/>
      <c r="V683" s="162"/>
      <c r="W683" s="162"/>
      <c r="X683" s="163"/>
      <c r="Y683" s="147"/>
      <c r="Z683" s="147"/>
      <c r="AA683" s="147"/>
      <c r="AB683" s="148"/>
      <c r="AC683" s="732"/>
      <c r="AD683" s="732"/>
      <c r="AE683" s="732"/>
      <c r="AF683" s="732"/>
      <c r="AI683" s="109" t="str">
        <f>"52:field223:" &amp; IF(I683="■",1,IF(M683="■",2,0))</f>
        <v>52:field223:0</v>
      </c>
    </row>
    <row r="684" spans="1:36" s="109" customFormat="1" ht="19.5" customHeight="1" x14ac:dyDescent="0.2">
      <c r="A684" s="139"/>
      <c r="B684" s="123"/>
      <c r="C684" s="140"/>
      <c r="D684" s="141"/>
      <c r="E684" s="128"/>
      <c r="F684" s="142"/>
      <c r="G684" s="143"/>
      <c r="H684" s="155" t="s">
        <v>448</v>
      </c>
      <c r="I684" s="156" t="s">
        <v>383</v>
      </c>
      <c r="J684" s="157" t="s">
        <v>395</v>
      </c>
      <c r="K684" s="158"/>
      <c r="L684" s="159"/>
      <c r="M684" s="160" t="s">
        <v>383</v>
      </c>
      <c r="N684" s="157" t="s">
        <v>431</v>
      </c>
      <c r="O684" s="161"/>
      <c r="P684" s="157"/>
      <c r="Q684" s="162"/>
      <c r="R684" s="162"/>
      <c r="S684" s="162"/>
      <c r="T684" s="162"/>
      <c r="U684" s="162"/>
      <c r="V684" s="162"/>
      <c r="W684" s="162"/>
      <c r="X684" s="163"/>
      <c r="Y684" s="147"/>
      <c r="Z684" s="147"/>
      <c r="AA684" s="147"/>
      <c r="AB684" s="148"/>
      <c r="AC684" s="732"/>
      <c r="AD684" s="732"/>
      <c r="AE684" s="732"/>
      <c r="AF684" s="732"/>
      <c r="AI684" s="109" t="str">
        <f>"52:field232:" &amp; IF(I684="■",1,IF(M684="■",2,0))</f>
        <v>52:field232:0</v>
      </c>
    </row>
    <row r="685" spans="1:36" s="109" customFormat="1" ht="37.5" customHeight="1" x14ac:dyDescent="0.2">
      <c r="A685" s="139"/>
      <c r="B685" s="123"/>
      <c r="C685" s="248"/>
      <c r="D685" s="249"/>
      <c r="E685" s="128"/>
      <c r="F685" s="142"/>
      <c r="G685" s="128"/>
      <c r="H685" s="164" t="s">
        <v>202</v>
      </c>
      <c r="I685" s="150" t="s">
        <v>383</v>
      </c>
      <c r="J685" s="169" t="s">
        <v>250</v>
      </c>
      <c r="K685" s="179"/>
      <c r="L685" s="203" t="s">
        <v>383</v>
      </c>
      <c r="M685" s="169" t="s">
        <v>267</v>
      </c>
      <c r="N685" s="158"/>
      <c r="O685" s="157"/>
      <c r="P685" s="157"/>
      <c r="Q685" s="157"/>
      <c r="R685" s="157"/>
      <c r="S685" s="157"/>
      <c r="T685" s="157"/>
      <c r="U685" s="157"/>
      <c r="V685" s="157"/>
      <c r="W685" s="157"/>
      <c r="X685" s="165"/>
      <c r="Y685" s="154"/>
      <c r="Z685" s="147"/>
      <c r="AA685" s="147"/>
      <c r="AB685" s="148"/>
      <c r="AC685" s="732"/>
      <c r="AD685" s="732"/>
      <c r="AE685" s="732"/>
      <c r="AF685" s="732"/>
      <c r="AI685" s="109" t="str">
        <f>"52:field206:" &amp; IF(I685="■",1,IF(L685="■",2,0))</f>
        <v>52:field206:0</v>
      </c>
    </row>
    <row r="686" spans="1:36" s="1" customFormat="1" ht="19.5" customHeight="1" x14ac:dyDescent="0.2">
      <c r="A686" s="88"/>
      <c r="B686" s="91"/>
      <c r="C686" s="87"/>
      <c r="D686" s="89"/>
      <c r="E686" s="90"/>
      <c r="F686" s="101"/>
      <c r="G686" s="100"/>
      <c r="H686" s="348" t="s">
        <v>638</v>
      </c>
      <c r="I686" s="406" t="s">
        <v>383</v>
      </c>
      <c r="J686" s="381" t="s">
        <v>624</v>
      </c>
      <c r="K686" s="472"/>
      <c r="L686" s="382"/>
      <c r="M686" s="408" t="s">
        <v>383</v>
      </c>
      <c r="N686" s="381" t="s">
        <v>625</v>
      </c>
      <c r="O686" s="473"/>
      <c r="P686" s="381"/>
      <c r="Q686" s="474"/>
      <c r="R686" s="474"/>
      <c r="S686" s="474"/>
      <c r="T686" s="474"/>
      <c r="U686" s="474"/>
      <c r="V686" s="474"/>
      <c r="W686" s="474"/>
      <c r="X686" s="475"/>
      <c r="Y686" s="85"/>
      <c r="Z686" s="2"/>
      <c r="AA686" s="92"/>
      <c r="AB686" s="102"/>
      <c r="AC686" s="732"/>
      <c r="AD686" s="732"/>
      <c r="AE686" s="732"/>
      <c r="AF686" s="732"/>
      <c r="AI686" s="109" t="str">
        <f>"52:field242:" &amp; IF(I686="■",1,IF(M686="■",2,0))</f>
        <v>52:field242:0</v>
      </c>
    </row>
    <row r="687" spans="1:36" s="109" customFormat="1" ht="18.75" customHeight="1" x14ac:dyDescent="0.2">
      <c r="A687" s="139"/>
      <c r="B687" s="123"/>
      <c r="C687" s="248"/>
      <c r="D687" s="249"/>
      <c r="E687" s="128"/>
      <c r="F687" s="142"/>
      <c r="G687" s="128"/>
      <c r="H687" s="242" t="s">
        <v>111</v>
      </c>
      <c r="I687" s="150" t="s">
        <v>383</v>
      </c>
      <c r="J687" s="169" t="s">
        <v>250</v>
      </c>
      <c r="K687" s="179"/>
      <c r="L687" s="203" t="s">
        <v>383</v>
      </c>
      <c r="M687" s="169" t="s">
        <v>267</v>
      </c>
      <c r="N687" s="158"/>
      <c r="O687" s="157"/>
      <c r="P687" s="157"/>
      <c r="Q687" s="157"/>
      <c r="R687" s="157"/>
      <c r="S687" s="157"/>
      <c r="T687" s="157"/>
      <c r="U687" s="157"/>
      <c r="V687" s="157"/>
      <c r="W687" s="157"/>
      <c r="X687" s="165"/>
      <c r="Y687" s="154"/>
      <c r="Z687" s="147"/>
      <c r="AA687" s="147"/>
      <c r="AB687" s="148"/>
      <c r="AC687" s="732"/>
      <c r="AD687" s="732"/>
      <c r="AE687" s="732"/>
      <c r="AF687" s="732"/>
      <c r="AI687" s="109" t="str">
        <f>"52:yakinhaiti_code:" &amp; IF(I687="■",1,IF(L687="■",2,0))</f>
        <v>52:yakinhaiti_code:0</v>
      </c>
    </row>
    <row r="688" spans="1:36" s="109" customFormat="1" ht="18.75" customHeight="1" x14ac:dyDescent="0.2">
      <c r="A688" s="139"/>
      <c r="B688" s="123"/>
      <c r="C688" s="248"/>
      <c r="D688" s="249"/>
      <c r="E688" s="128"/>
      <c r="F688" s="142"/>
      <c r="G688" s="128"/>
      <c r="H688" s="242" t="s">
        <v>138</v>
      </c>
      <c r="I688" s="150" t="s">
        <v>383</v>
      </c>
      <c r="J688" s="169" t="s">
        <v>250</v>
      </c>
      <c r="K688" s="179"/>
      <c r="L688" s="203" t="s">
        <v>383</v>
      </c>
      <c r="M688" s="169" t="s">
        <v>267</v>
      </c>
      <c r="N688" s="158"/>
      <c r="O688" s="157"/>
      <c r="P688" s="157"/>
      <c r="Q688" s="157"/>
      <c r="R688" s="157"/>
      <c r="S688" s="157"/>
      <c r="T688" s="157"/>
      <c r="U688" s="157"/>
      <c r="V688" s="157"/>
      <c r="W688" s="157"/>
      <c r="X688" s="165"/>
      <c r="Y688" s="154"/>
      <c r="Z688" s="147"/>
      <c r="AA688" s="147"/>
      <c r="AB688" s="148"/>
      <c r="AC688" s="732"/>
      <c r="AD688" s="732"/>
      <c r="AE688" s="732"/>
      <c r="AF688" s="732"/>
      <c r="AI688" s="109" t="str">
        <f>"52:ninti_riha_code:" &amp; IF(I688="■",1,IF(L688="■",2,0))</f>
        <v>52:ninti_riha_code:0</v>
      </c>
    </row>
    <row r="689" spans="1:35" s="109" customFormat="1" ht="18.75" customHeight="1" x14ac:dyDescent="0.2">
      <c r="A689" s="139"/>
      <c r="B689" s="123"/>
      <c r="C689" s="248"/>
      <c r="D689" s="249"/>
      <c r="E689" s="128"/>
      <c r="F689" s="142"/>
      <c r="G689" s="128"/>
      <c r="H689" s="242" t="s">
        <v>100</v>
      </c>
      <c r="I689" s="150" t="s">
        <v>383</v>
      </c>
      <c r="J689" s="169" t="s">
        <v>250</v>
      </c>
      <c r="K689" s="179"/>
      <c r="L689" s="203" t="s">
        <v>383</v>
      </c>
      <c r="M689" s="169" t="s">
        <v>267</v>
      </c>
      <c r="N689" s="158"/>
      <c r="O689" s="158"/>
      <c r="P689" s="158"/>
      <c r="Q689" s="158"/>
      <c r="R689" s="158"/>
      <c r="S689" s="158"/>
      <c r="T689" s="158"/>
      <c r="U689" s="158"/>
      <c r="V689" s="158"/>
      <c r="W689" s="158"/>
      <c r="X689" s="166"/>
      <c r="Y689" s="154"/>
      <c r="Z689" s="147"/>
      <c r="AA689" s="147"/>
      <c r="AB689" s="148"/>
      <c r="AC689" s="732"/>
      <c r="AD689" s="732"/>
      <c r="AE689" s="732"/>
      <c r="AF689" s="732"/>
      <c r="AI689" s="109" t="str">
        <f>"52:ninticare_code:" &amp; IF(I689="■",1,IF(L689="■",2,0))</f>
        <v>52:ninticare_code:0</v>
      </c>
    </row>
    <row r="690" spans="1:35" s="109" customFormat="1" ht="18.75" customHeight="1" x14ac:dyDescent="0.2">
      <c r="A690" s="139"/>
      <c r="B690" s="123"/>
      <c r="C690" s="248"/>
      <c r="D690" s="249"/>
      <c r="E690" s="128"/>
      <c r="F690" s="142"/>
      <c r="G690" s="128"/>
      <c r="H690" s="245" t="s">
        <v>140</v>
      </c>
      <c r="I690" s="150" t="s">
        <v>383</v>
      </c>
      <c r="J690" s="169" t="s">
        <v>250</v>
      </c>
      <c r="K690" s="179"/>
      <c r="L690" s="203" t="s">
        <v>383</v>
      </c>
      <c r="M690" s="169" t="s">
        <v>267</v>
      </c>
      <c r="N690" s="158"/>
      <c r="O690" s="158"/>
      <c r="P690" s="158"/>
      <c r="Q690" s="158"/>
      <c r="R690" s="158"/>
      <c r="S690" s="158"/>
      <c r="T690" s="158"/>
      <c r="U690" s="158"/>
      <c r="V690" s="158"/>
      <c r="W690" s="158"/>
      <c r="X690" s="166"/>
      <c r="Y690" s="154"/>
      <c r="Z690" s="147"/>
      <c r="AA690" s="147"/>
      <c r="AB690" s="148"/>
      <c r="AC690" s="732"/>
      <c r="AD690" s="732"/>
      <c r="AE690" s="732"/>
      <c r="AF690" s="732"/>
      <c r="AI690" s="109" t="str">
        <f>"52:jyakuninti_uke_code:" &amp; IF(I690="■",1,IF(L690="■",2,0))</f>
        <v>52:jyakuninti_uke_code:0</v>
      </c>
    </row>
    <row r="691" spans="1:35" s="109" customFormat="1" ht="18.75" customHeight="1" x14ac:dyDescent="0.2">
      <c r="A691" s="125" t="s">
        <v>383</v>
      </c>
      <c r="B691" s="123">
        <v>52</v>
      </c>
      <c r="C691" s="248" t="s">
        <v>196</v>
      </c>
      <c r="D691" s="125" t="s">
        <v>383</v>
      </c>
      <c r="E691" s="128" t="s">
        <v>407</v>
      </c>
      <c r="F691" s="125" t="s">
        <v>383</v>
      </c>
      <c r="G691" s="128" t="s">
        <v>313</v>
      </c>
      <c r="H691" s="245" t="s">
        <v>218</v>
      </c>
      <c r="I691" s="156" t="s">
        <v>383</v>
      </c>
      <c r="J691" s="157" t="s">
        <v>250</v>
      </c>
      <c r="K691" s="157"/>
      <c r="L691" s="160" t="s">
        <v>383</v>
      </c>
      <c r="M691" s="157" t="s">
        <v>251</v>
      </c>
      <c r="N691" s="157"/>
      <c r="O691" s="160" t="s">
        <v>383</v>
      </c>
      <c r="P691" s="157" t="s">
        <v>252</v>
      </c>
      <c r="Q691" s="158"/>
      <c r="R691" s="158"/>
      <c r="S691" s="157"/>
      <c r="T691" s="157"/>
      <c r="U691" s="157"/>
      <c r="V691" s="157"/>
      <c r="W691" s="157"/>
      <c r="X691" s="165"/>
      <c r="Y691" s="154"/>
      <c r="Z691" s="147"/>
      <c r="AA691" s="147"/>
      <c r="AB691" s="148"/>
      <c r="AC691" s="732"/>
      <c r="AD691" s="732"/>
      <c r="AE691" s="732"/>
      <c r="AF691" s="732"/>
      <c r="AI691" s="109" t="str">
        <f>"52:zaitaku_hukki_code:" &amp; IF(I691="■",1,IF(L691="■",2,IF(O691="■",3,0)))</f>
        <v>52:zaitaku_hukki_code:0</v>
      </c>
    </row>
    <row r="692" spans="1:35" s="109" customFormat="1" ht="18.75" customHeight="1" x14ac:dyDescent="0.2">
      <c r="A692" s="139"/>
      <c r="B692" s="123"/>
      <c r="C692" s="248"/>
      <c r="D692" s="249"/>
      <c r="E692" s="128"/>
      <c r="F692" s="125" t="s">
        <v>383</v>
      </c>
      <c r="G692" s="128" t="s">
        <v>314</v>
      </c>
      <c r="H692" s="242" t="s">
        <v>91</v>
      </c>
      <c r="I692" s="150" t="s">
        <v>383</v>
      </c>
      <c r="J692" s="169" t="s">
        <v>250</v>
      </c>
      <c r="K692" s="179"/>
      <c r="L692" s="203" t="s">
        <v>383</v>
      </c>
      <c r="M692" s="169" t="s">
        <v>267</v>
      </c>
      <c r="N692" s="158"/>
      <c r="O692" s="158"/>
      <c r="P692" s="158"/>
      <c r="Q692" s="158"/>
      <c r="R692" s="158"/>
      <c r="S692" s="158"/>
      <c r="T692" s="158"/>
      <c r="U692" s="158"/>
      <c r="V692" s="158"/>
      <c r="W692" s="158"/>
      <c r="X692" s="166"/>
      <c r="Y692" s="154"/>
      <c r="Z692" s="147"/>
      <c r="AA692" s="147"/>
      <c r="AB692" s="148"/>
      <c r="AC692" s="732"/>
      <c r="AD692" s="732"/>
      <c r="AE692" s="732"/>
      <c r="AF692" s="732"/>
      <c r="AI692" s="109" t="str">
        <f>"52:terminal_code:" &amp; IF(I692="■",1,IF(L692="■",2,0))</f>
        <v>52:terminal_code:0</v>
      </c>
    </row>
    <row r="693" spans="1:35" s="109" customFormat="1" ht="18.75" customHeight="1" x14ac:dyDescent="0.2">
      <c r="A693" s="139"/>
      <c r="B693" s="123"/>
      <c r="C693" s="248"/>
      <c r="D693" s="249"/>
      <c r="E693" s="128"/>
      <c r="F693" s="249"/>
      <c r="G693" s="128"/>
      <c r="H693" s="242" t="s">
        <v>199</v>
      </c>
      <c r="I693" s="150" t="s">
        <v>383</v>
      </c>
      <c r="J693" s="169" t="s">
        <v>250</v>
      </c>
      <c r="K693" s="179"/>
      <c r="L693" s="203" t="s">
        <v>383</v>
      </c>
      <c r="M693" s="169" t="s">
        <v>267</v>
      </c>
      <c r="N693" s="158"/>
      <c r="O693" s="158"/>
      <c r="P693" s="158"/>
      <c r="Q693" s="158"/>
      <c r="R693" s="158"/>
      <c r="S693" s="158"/>
      <c r="T693" s="158"/>
      <c r="U693" s="158"/>
      <c r="V693" s="158"/>
      <c r="W693" s="158"/>
      <c r="X693" s="166"/>
      <c r="Y693" s="154"/>
      <c r="Z693" s="147"/>
      <c r="AA693" s="147"/>
      <c r="AB693" s="148"/>
      <c r="AC693" s="732"/>
      <c r="AD693" s="732"/>
      <c r="AE693" s="732"/>
      <c r="AF693" s="732"/>
      <c r="AI693" s="109" t="str">
        <f>"52:field207:" &amp; IF(I693="■",1,IF(L693="■",2,0))</f>
        <v>52:field207:0</v>
      </c>
    </row>
    <row r="694" spans="1:35" s="109" customFormat="1" ht="18.75" customHeight="1" x14ac:dyDescent="0.2">
      <c r="A694" s="139"/>
      <c r="B694" s="123"/>
      <c r="C694" s="248"/>
      <c r="D694" s="249"/>
      <c r="E694" s="128"/>
      <c r="F694" s="249"/>
      <c r="G694" s="128"/>
      <c r="H694" s="242" t="s">
        <v>112</v>
      </c>
      <c r="I694" s="150" t="s">
        <v>383</v>
      </c>
      <c r="J694" s="169" t="s">
        <v>250</v>
      </c>
      <c r="K694" s="179"/>
      <c r="L694" s="203" t="s">
        <v>383</v>
      </c>
      <c r="M694" s="169" t="s">
        <v>267</v>
      </c>
      <c r="N694" s="158"/>
      <c r="O694" s="157"/>
      <c r="P694" s="157"/>
      <c r="Q694" s="157"/>
      <c r="R694" s="157"/>
      <c r="S694" s="157"/>
      <c r="T694" s="157"/>
      <c r="U694" s="157"/>
      <c r="V694" s="157"/>
      <c r="W694" s="157"/>
      <c r="X694" s="165"/>
      <c r="Y694" s="154"/>
      <c r="Z694" s="147"/>
      <c r="AA694" s="147"/>
      <c r="AB694" s="148"/>
      <c r="AC694" s="732"/>
      <c r="AD694" s="732"/>
      <c r="AE694" s="732"/>
      <c r="AF694" s="732"/>
      <c r="AI694" s="109" t="str">
        <f>"52:ryouyoushoku_code:" &amp; IF(I694="■",1,IF(L694="■",2,0))</f>
        <v>52:ryouyoushoku_code:0</v>
      </c>
    </row>
    <row r="695" spans="1:35" s="109" customFormat="1" ht="18.75" customHeight="1" x14ac:dyDescent="0.2">
      <c r="A695" s="139"/>
      <c r="B695" s="123"/>
      <c r="C695" s="248"/>
      <c r="D695" s="249"/>
      <c r="E695" s="128"/>
      <c r="F695" s="142"/>
      <c r="G695" s="128"/>
      <c r="H695" s="242" t="s">
        <v>116</v>
      </c>
      <c r="I695" s="156" t="s">
        <v>383</v>
      </c>
      <c r="J695" s="157" t="s">
        <v>250</v>
      </c>
      <c r="K695" s="157"/>
      <c r="L695" s="160" t="s">
        <v>383</v>
      </c>
      <c r="M695" s="157" t="s">
        <v>251</v>
      </c>
      <c r="N695" s="157"/>
      <c r="O695" s="160" t="s">
        <v>383</v>
      </c>
      <c r="P695" s="157" t="s">
        <v>252</v>
      </c>
      <c r="Q695" s="158"/>
      <c r="R695" s="158"/>
      <c r="S695" s="157"/>
      <c r="T695" s="157"/>
      <c r="U695" s="157"/>
      <c r="V695" s="157"/>
      <c r="W695" s="157"/>
      <c r="X695" s="165"/>
      <c r="Y695" s="154"/>
      <c r="Z695" s="147"/>
      <c r="AA695" s="147"/>
      <c r="AB695" s="148"/>
      <c r="AC695" s="732"/>
      <c r="AD695" s="732"/>
      <c r="AE695" s="732"/>
      <c r="AF695" s="732"/>
      <c r="AI695" s="109" t="str">
        <f>"52:ninti_senmoncare_code:" &amp; IF(I695="■",1,IF(O695="■",3,IF(L695="■",2,0)))</f>
        <v>52:ninti_senmoncare_code:0</v>
      </c>
    </row>
    <row r="696" spans="1:35" s="109" customFormat="1" ht="18.75" customHeight="1" x14ac:dyDescent="0.2">
      <c r="A696" s="139"/>
      <c r="B696" s="123"/>
      <c r="C696" s="248"/>
      <c r="D696" s="249"/>
      <c r="E696" s="128"/>
      <c r="F696" s="142"/>
      <c r="G696" s="128"/>
      <c r="H696" s="242" t="s">
        <v>447</v>
      </c>
      <c r="I696" s="156" t="s">
        <v>383</v>
      </c>
      <c r="J696" s="157" t="s">
        <v>250</v>
      </c>
      <c r="K696" s="157"/>
      <c r="L696" s="160" t="s">
        <v>383</v>
      </c>
      <c r="M696" s="157" t="s">
        <v>251</v>
      </c>
      <c r="N696" s="157"/>
      <c r="O696" s="160" t="s">
        <v>383</v>
      </c>
      <c r="P696" s="157" t="s">
        <v>252</v>
      </c>
      <c r="Q696" s="158"/>
      <c r="R696" s="158"/>
      <c r="S696" s="158"/>
      <c r="T696" s="158"/>
      <c r="U696" s="158"/>
      <c r="V696" s="158"/>
      <c r="W696" s="158"/>
      <c r="X696" s="166"/>
      <c r="Y696" s="154"/>
      <c r="Z696" s="147"/>
      <c r="AA696" s="147"/>
      <c r="AB696" s="148"/>
      <c r="AC696" s="732"/>
      <c r="AD696" s="732"/>
      <c r="AE696" s="732"/>
      <c r="AF696" s="732"/>
      <c r="AI696" s="109" t="str">
        <f>"52:field228:" &amp; IF(I696="■",1,IF(L696="■",2,IF(O696="■",3,0)))</f>
        <v>52:field228:0</v>
      </c>
    </row>
    <row r="697" spans="1:35" s="109" customFormat="1" ht="18.75" customHeight="1" x14ac:dyDescent="0.2">
      <c r="A697" s="139"/>
      <c r="B697" s="123"/>
      <c r="C697" s="248"/>
      <c r="D697" s="249"/>
      <c r="E697" s="128"/>
      <c r="F697" s="142"/>
      <c r="G697" s="128"/>
      <c r="H697" s="239" t="s">
        <v>226</v>
      </c>
      <c r="I697" s="150" t="s">
        <v>383</v>
      </c>
      <c r="J697" s="169" t="s">
        <v>250</v>
      </c>
      <c r="K697" s="179"/>
      <c r="L697" s="160" t="s">
        <v>383</v>
      </c>
      <c r="M697" s="157" t="s">
        <v>268</v>
      </c>
      <c r="N697" s="157"/>
      <c r="O697" s="160" t="s">
        <v>383</v>
      </c>
      <c r="P697" s="157" t="s">
        <v>269</v>
      </c>
      <c r="Q697" s="158"/>
      <c r="R697" s="158"/>
      <c r="S697" s="158"/>
      <c r="T697" s="158"/>
      <c r="U697" s="158"/>
      <c r="V697" s="158"/>
      <c r="W697" s="158"/>
      <c r="X697" s="166"/>
      <c r="Y697" s="154"/>
      <c r="Z697" s="147"/>
      <c r="AA697" s="147"/>
      <c r="AB697" s="148"/>
      <c r="AC697" s="732"/>
      <c r="AD697" s="732"/>
      <c r="AE697" s="732"/>
      <c r="AF697" s="732"/>
      <c r="AI697" s="109" t="str">
        <f>"52:field216:" &amp; IF(I697="■",1,IF(L697="■",2,IF(O697="■",3,0)))</f>
        <v>52:field216:0</v>
      </c>
    </row>
    <row r="698" spans="1:35" s="109" customFormat="1" ht="18.75" customHeight="1" x14ac:dyDescent="0.2">
      <c r="A698" s="139"/>
      <c r="B698" s="123"/>
      <c r="C698" s="248"/>
      <c r="D698" s="249"/>
      <c r="E698" s="128"/>
      <c r="F698" s="142"/>
      <c r="G698" s="128"/>
      <c r="H698" s="242" t="s">
        <v>190</v>
      </c>
      <c r="I698" s="150" t="s">
        <v>383</v>
      </c>
      <c r="J698" s="169" t="s">
        <v>250</v>
      </c>
      <c r="K698" s="179"/>
      <c r="L698" s="203" t="s">
        <v>383</v>
      </c>
      <c r="M698" s="169" t="s">
        <v>267</v>
      </c>
      <c r="N698" s="158"/>
      <c r="O698" s="158"/>
      <c r="P698" s="158"/>
      <c r="Q698" s="158"/>
      <c r="R698" s="158"/>
      <c r="S698" s="158"/>
      <c r="T698" s="158"/>
      <c r="U698" s="158"/>
      <c r="V698" s="158"/>
      <c r="W698" s="158"/>
      <c r="X698" s="166"/>
      <c r="Y698" s="154"/>
      <c r="Z698" s="147"/>
      <c r="AA698" s="147"/>
      <c r="AB698" s="148"/>
      <c r="AC698" s="732"/>
      <c r="AD698" s="732"/>
      <c r="AE698" s="732"/>
      <c r="AF698" s="732"/>
      <c r="AI698" s="109" t="str">
        <f>"52:field177:" &amp; IF(I698="■",1,IF(L698="■",2,0))</f>
        <v>52:field177:0</v>
      </c>
    </row>
    <row r="699" spans="1:35" s="109" customFormat="1" ht="18.75" customHeight="1" x14ac:dyDescent="0.2">
      <c r="A699" s="139"/>
      <c r="B699" s="123"/>
      <c r="C699" s="248"/>
      <c r="D699" s="249"/>
      <c r="E699" s="128"/>
      <c r="F699" s="142"/>
      <c r="G699" s="128"/>
      <c r="H699" s="239" t="s">
        <v>198</v>
      </c>
      <c r="I699" s="150" t="s">
        <v>383</v>
      </c>
      <c r="J699" s="169" t="s">
        <v>250</v>
      </c>
      <c r="K699" s="179"/>
      <c r="L699" s="203" t="s">
        <v>383</v>
      </c>
      <c r="M699" s="169" t="s">
        <v>267</v>
      </c>
      <c r="N699" s="158"/>
      <c r="O699" s="158"/>
      <c r="P699" s="158"/>
      <c r="Q699" s="158"/>
      <c r="R699" s="158"/>
      <c r="S699" s="158"/>
      <c r="T699" s="158"/>
      <c r="U699" s="158"/>
      <c r="V699" s="158"/>
      <c r="W699" s="158"/>
      <c r="X699" s="166"/>
      <c r="Y699" s="154"/>
      <c r="Z699" s="147"/>
      <c r="AA699" s="147"/>
      <c r="AB699" s="148"/>
      <c r="AC699" s="732"/>
      <c r="AD699" s="732"/>
      <c r="AE699" s="732"/>
      <c r="AF699" s="732"/>
      <c r="AI699" s="109" t="str">
        <f>"52:field210:" &amp; IF(I699="■",1,IF(L699="■",2,0))</f>
        <v>52:field210:0</v>
      </c>
    </row>
    <row r="700" spans="1:35" s="109" customFormat="1" ht="18.75" customHeight="1" x14ac:dyDescent="0.2">
      <c r="A700" s="139"/>
      <c r="B700" s="123"/>
      <c r="C700" s="248"/>
      <c r="D700" s="249"/>
      <c r="E700" s="128"/>
      <c r="F700" s="142"/>
      <c r="G700" s="128"/>
      <c r="H700" s="242" t="s">
        <v>225</v>
      </c>
      <c r="I700" s="150" t="s">
        <v>383</v>
      </c>
      <c r="J700" s="169" t="s">
        <v>250</v>
      </c>
      <c r="K700" s="179"/>
      <c r="L700" s="203" t="s">
        <v>383</v>
      </c>
      <c r="M700" s="169" t="s">
        <v>267</v>
      </c>
      <c r="N700" s="158"/>
      <c r="O700" s="158"/>
      <c r="P700" s="158"/>
      <c r="Q700" s="158"/>
      <c r="R700" s="158"/>
      <c r="S700" s="158"/>
      <c r="T700" s="158"/>
      <c r="U700" s="158"/>
      <c r="V700" s="158"/>
      <c r="W700" s="158"/>
      <c r="X700" s="166"/>
      <c r="Y700" s="154"/>
      <c r="Z700" s="147"/>
      <c r="AA700" s="147"/>
      <c r="AB700" s="148"/>
      <c r="AC700" s="732"/>
      <c r="AD700" s="732"/>
      <c r="AE700" s="732"/>
      <c r="AF700" s="732"/>
      <c r="AI700" s="109" t="str">
        <f>"52:field211:" &amp; IF(I700="■",1,IF(L700="■",2,0))</f>
        <v>52:field211:0</v>
      </c>
    </row>
    <row r="701" spans="1:35" s="109" customFormat="1" ht="18.75" customHeight="1" x14ac:dyDescent="0.2">
      <c r="A701" s="139"/>
      <c r="B701" s="123"/>
      <c r="C701" s="248"/>
      <c r="D701" s="249"/>
      <c r="E701" s="128"/>
      <c r="F701" s="142"/>
      <c r="G701" s="128"/>
      <c r="H701" s="242" t="s">
        <v>197</v>
      </c>
      <c r="I701" s="150" t="s">
        <v>383</v>
      </c>
      <c r="J701" s="169" t="s">
        <v>250</v>
      </c>
      <c r="K701" s="179"/>
      <c r="L701" s="203" t="s">
        <v>383</v>
      </c>
      <c r="M701" s="169" t="s">
        <v>267</v>
      </c>
      <c r="N701" s="158"/>
      <c r="O701" s="158"/>
      <c r="P701" s="158"/>
      <c r="Q701" s="158"/>
      <c r="R701" s="158"/>
      <c r="S701" s="158"/>
      <c r="T701" s="158"/>
      <c r="U701" s="158"/>
      <c r="V701" s="158"/>
      <c r="W701" s="158"/>
      <c r="X701" s="166"/>
      <c r="Y701" s="154"/>
      <c r="Z701" s="147"/>
      <c r="AA701" s="147"/>
      <c r="AB701" s="148"/>
      <c r="AC701" s="732"/>
      <c r="AD701" s="732"/>
      <c r="AE701" s="732"/>
      <c r="AF701" s="732"/>
      <c r="AI701" s="109" t="str">
        <f>"52:field212:" &amp; IF(I701="■",1,IF(L701="■",2,0))</f>
        <v>52:field212:0</v>
      </c>
    </row>
    <row r="702" spans="1:35" s="109" customFormat="1" ht="18.75" customHeight="1" x14ac:dyDescent="0.2">
      <c r="A702" s="139"/>
      <c r="B702" s="123"/>
      <c r="C702" s="248"/>
      <c r="D702" s="249"/>
      <c r="E702" s="128"/>
      <c r="F702" s="142"/>
      <c r="G702" s="128"/>
      <c r="H702" s="242" t="s">
        <v>206</v>
      </c>
      <c r="I702" s="150" t="s">
        <v>383</v>
      </c>
      <c r="J702" s="169" t="s">
        <v>250</v>
      </c>
      <c r="K702" s="179"/>
      <c r="L702" s="203" t="s">
        <v>383</v>
      </c>
      <c r="M702" s="169" t="s">
        <v>267</v>
      </c>
      <c r="N702" s="158"/>
      <c r="O702" s="158"/>
      <c r="P702" s="158"/>
      <c r="Q702" s="158"/>
      <c r="R702" s="158"/>
      <c r="S702" s="158"/>
      <c r="T702" s="158"/>
      <c r="U702" s="158"/>
      <c r="V702" s="158"/>
      <c r="W702" s="158"/>
      <c r="X702" s="166"/>
      <c r="Y702" s="154"/>
      <c r="Z702" s="147"/>
      <c r="AA702" s="147"/>
      <c r="AB702" s="148"/>
      <c r="AC702" s="732"/>
      <c r="AD702" s="732"/>
      <c r="AE702" s="732"/>
      <c r="AF702" s="732"/>
      <c r="AI702" s="109" t="str">
        <f>"52:field209:" &amp; IF(I702="■",1,IF(L702="■",2,0))</f>
        <v>52:field209:0</v>
      </c>
    </row>
    <row r="703" spans="1:35" s="109" customFormat="1" ht="18.75" customHeight="1" x14ac:dyDescent="0.2">
      <c r="A703" s="139"/>
      <c r="B703" s="123"/>
      <c r="C703" s="248"/>
      <c r="D703" s="249"/>
      <c r="E703" s="128"/>
      <c r="F703" s="142"/>
      <c r="G703" s="128"/>
      <c r="H703" s="242" t="s">
        <v>461</v>
      </c>
      <c r="I703" s="156" t="s">
        <v>383</v>
      </c>
      <c r="J703" s="157" t="s">
        <v>250</v>
      </c>
      <c r="K703" s="157"/>
      <c r="L703" s="160" t="s">
        <v>383</v>
      </c>
      <c r="M703" s="169" t="s">
        <v>267</v>
      </c>
      <c r="N703" s="157"/>
      <c r="O703" s="157"/>
      <c r="P703" s="157"/>
      <c r="Q703" s="158"/>
      <c r="R703" s="158"/>
      <c r="S703" s="158"/>
      <c r="T703" s="158"/>
      <c r="U703" s="158"/>
      <c r="V703" s="158"/>
      <c r="W703" s="158"/>
      <c r="X703" s="166"/>
      <c r="Y703" s="154"/>
      <c r="Z703" s="147"/>
      <c r="AA703" s="147"/>
      <c r="AB703" s="148"/>
      <c r="AC703" s="732"/>
      <c r="AD703" s="732"/>
      <c r="AE703" s="732"/>
      <c r="AF703" s="732"/>
      <c r="AI703" s="109" t="str">
        <f>"52:field226:" &amp; IF(I703="■",1,IF(L703="■",2,0))</f>
        <v>52:field226:0</v>
      </c>
    </row>
    <row r="704" spans="1:35" s="109" customFormat="1" ht="18.75" customHeight="1" x14ac:dyDescent="0.2">
      <c r="A704" s="139"/>
      <c r="B704" s="123"/>
      <c r="C704" s="248"/>
      <c r="D704" s="249"/>
      <c r="E704" s="128"/>
      <c r="F704" s="142"/>
      <c r="G704" s="128"/>
      <c r="H704" s="242" t="s">
        <v>462</v>
      </c>
      <c r="I704" s="156" t="s">
        <v>383</v>
      </c>
      <c r="J704" s="157" t="s">
        <v>250</v>
      </c>
      <c r="K704" s="157"/>
      <c r="L704" s="160" t="s">
        <v>383</v>
      </c>
      <c r="M704" s="169" t="s">
        <v>267</v>
      </c>
      <c r="N704" s="157"/>
      <c r="O704" s="157"/>
      <c r="P704" s="157"/>
      <c r="Q704" s="158"/>
      <c r="R704" s="158"/>
      <c r="S704" s="158"/>
      <c r="T704" s="158"/>
      <c r="U704" s="158"/>
      <c r="V704" s="158"/>
      <c r="W704" s="158"/>
      <c r="X704" s="166"/>
      <c r="Y704" s="154"/>
      <c r="Z704" s="147"/>
      <c r="AA704" s="147"/>
      <c r="AB704" s="148"/>
      <c r="AC704" s="732"/>
      <c r="AD704" s="732"/>
      <c r="AE704" s="732"/>
      <c r="AF704" s="732"/>
      <c r="AI704" s="109" t="str">
        <f>"52:field227:" &amp; IF(I704="■",1,IF(L704="■",2,0))</f>
        <v>52:field227:0</v>
      </c>
    </row>
    <row r="705" spans="1:36" s="109" customFormat="1" ht="18.75" customHeight="1" x14ac:dyDescent="0.2">
      <c r="A705" s="139"/>
      <c r="B705" s="123"/>
      <c r="C705" s="248"/>
      <c r="D705" s="249"/>
      <c r="E705" s="128"/>
      <c r="F705" s="142"/>
      <c r="G705" s="128"/>
      <c r="H705" s="250" t="s">
        <v>442</v>
      </c>
      <c r="I705" s="156" t="s">
        <v>383</v>
      </c>
      <c r="J705" s="157" t="s">
        <v>250</v>
      </c>
      <c r="K705" s="157"/>
      <c r="L705" s="160" t="s">
        <v>383</v>
      </c>
      <c r="M705" s="157" t="s">
        <v>251</v>
      </c>
      <c r="N705" s="157"/>
      <c r="O705" s="160" t="s">
        <v>383</v>
      </c>
      <c r="P705" s="157" t="s">
        <v>252</v>
      </c>
      <c r="Q705" s="162"/>
      <c r="R705" s="162"/>
      <c r="S705" s="162"/>
      <c r="T705" s="162"/>
      <c r="U705" s="251"/>
      <c r="V705" s="251"/>
      <c r="W705" s="251"/>
      <c r="X705" s="252"/>
      <c r="Y705" s="154"/>
      <c r="Z705" s="147"/>
      <c r="AA705" s="147"/>
      <c r="AB705" s="148"/>
      <c r="AC705" s="732"/>
      <c r="AD705" s="732"/>
      <c r="AE705" s="732"/>
      <c r="AF705" s="732"/>
      <c r="AI705" s="109" t="str">
        <f>"52:field225:" &amp; IF(I705="■",1,IF(L705="■",2,IF(O705="■",3,0)))</f>
        <v>52:field225:0</v>
      </c>
    </row>
    <row r="706" spans="1:36" s="109" customFormat="1" ht="18.75" customHeight="1" x14ac:dyDescent="0.2">
      <c r="A706" s="139"/>
      <c r="B706" s="123"/>
      <c r="C706" s="248"/>
      <c r="D706" s="249"/>
      <c r="E706" s="128"/>
      <c r="F706" s="142"/>
      <c r="G706" s="128"/>
      <c r="H706" s="242" t="s">
        <v>118</v>
      </c>
      <c r="I706" s="156" t="s">
        <v>383</v>
      </c>
      <c r="J706" s="157" t="s">
        <v>250</v>
      </c>
      <c r="K706" s="157"/>
      <c r="L706" s="160" t="s">
        <v>383</v>
      </c>
      <c r="M706" s="157" t="s">
        <v>258</v>
      </c>
      <c r="N706" s="157"/>
      <c r="O706" s="160" t="s">
        <v>383</v>
      </c>
      <c r="P706" s="157" t="s">
        <v>259</v>
      </c>
      <c r="Q706" s="207"/>
      <c r="R706" s="160" t="s">
        <v>383</v>
      </c>
      <c r="S706" s="157" t="s">
        <v>283</v>
      </c>
      <c r="T706" s="157"/>
      <c r="U706" s="157"/>
      <c r="V706" s="157"/>
      <c r="W706" s="157"/>
      <c r="X706" s="165"/>
      <c r="Y706" s="154"/>
      <c r="Z706" s="147"/>
      <c r="AA706" s="147"/>
      <c r="AB706" s="148"/>
      <c r="AC706" s="732"/>
      <c r="AD706" s="732"/>
      <c r="AE706" s="732"/>
      <c r="AF706" s="732"/>
      <c r="AI706" s="109" t="str">
        <f>"52:serteikyo_kyoka_code:" &amp; IF(I706="■",1,IF(L706="■",6,IF(O706="■",5,IF(R706="■",7,0))))</f>
        <v>52:serteikyo_kyoka_code:0</v>
      </c>
    </row>
    <row r="707" spans="1:36" s="621" customFormat="1" ht="18.75" customHeight="1" x14ac:dyDescent="0.2">
      <c r="A707" s="139"/>
      <c r="B707" s="670"/>
      <c r="C707" s="248"/>
      <c r="D707" s="249"/>
      <c r="E707" s="128"/>
      <c r="F707" s="142"/>
      <c r="G707" s="143"/>
      <c r="H707" s="713" t="s">
        <v>790</v>
      </c>
      <c r="I707" s="642" t="s">
        <v>383</v>
      </c>
      <c r="J707" s="616" t="s">
        <v>627</v>
      </c>
      <c r="K707" s="616"/>
      <c r="L707" s="615"/>
      <c r="M707" s="644" t="s">
        <v>383</v>
      </c>
      <c r="N707" s="616" t="s">
        <v>791</v>
      </c>
      <c r="O707" s="617"/>
      <c r="P707" s="615"/>
      <c r="Q707" s="644" t="s">
        <v>383</v>
      </c>
      <c r="R707" s="618" t="s">
        <v>802</v>
      </c>
      <c r="S707" s="615"/>
      <c r="T707" s="615"/>
      <c r="U707" s="615"/>
      <c r="V707" s="618"/>
      <c r="W707" s="619"/>
      <c r="X707" s="620"/>
      <c r="Y707" s="154"/>
      <c r="Z707" s="147"/>
      <c r="AA707" s="147"/>
      <c r="AB707" s="148"/>
      <c r="AC707" s="733"/>
      <c r="AD707" s="733"/>
      <c r="AE707" s="733"/>
      <c r="AF707" s="733"/>
    </row>
    <row r="708" spans="1:36" s="621" customFormat="1" ht="18.75" customHeight="1" x14ac:dyDescent="0.2">
      <c r="A708" s="139"/>
      <c r="B708" s="670"/>
      <c r="C708" s="248"/>
      <c r="D708" s="249"/>
      <c r="E708" s="128"/>
      <c r="F708" s="142"/>
      <c r="G708" s="143"/>
      <c r="H708" s="714"/>
      <c r="I708" s="643" t="s">
        <v>383</v>
      </c>
      <c r="J708" s="623" t="s">
        <v>803</v>
      </c>
      <c r="K708" s="623"/>
      <c r="L708" s="622"/>
      <c r="M708" s="211" t="s">
        <v>383</v>
      </c>
      <c r="N708" s="623" t="s">
        <v>804</v>
      </c>
      <c r="O708" s="624"/>
      <c r="P708" s="622"/>
      <c r="Q708" s="211" t="s">
        <v>383</v>
      </c>
      <c r="R708" s="623" t="s">
        <v>795</v>
      </c>
      <c r="S708" s="622"/>
      <c r="T708" s="623"/>
      <c r="U708" s="211" t="s">
        <v>383</v>
      </c>
      <c r="V708" s="623" t="s">
        <v>796</v>
      </c>
      <c r="W708" s="625"/>
      <c r="X708" s="626"/>
      <c r="Y708" s="154"/>
      <c r="Z708" s="147"/>
      <c r="AA708" s="147"/>
      <c r="AB708" s="148"/>
      <c r="AC708" s="733"/>
      <c r="AD708" s="733"/>
      <c r="AE708" s="733"/>
      <c r="AF708" s="733"/>
    </row>
    <row r="709" spans="1:36" s="109" customFormat="1" ht="18.75" customHeight="1" x14ac:dyDescent="0.2">
      <c r="A709" s="129"/>
      <c r="B709" s="116"/>
      <c r="C709" s="272"/>
      <c r="D709" s="273"/>
      <c r="E709" s="121"/>
      <c r="F709" s="132"/>
      <c r="G709" s="121"/>
      <c r="H709" s="226" t="s">
        <v>97</v>
      </c>
      <c r="I709" s="196" t="s">
        <v>383</v>
      </c>
      <c r="J709" s="197" t="s">
        <v>300</v>
      </c>
      <c r="K709" s="198"/>
      <c r="L709" s="199"/>
      <c r="M709" s="200" t="s">
        <v>383</v>
      </c>
      <c r="N709" s="197" t="s">
        <v>301</v>
      </c>
      <c r="O709" s="201"/>
      <c r="P709" s="198"/>
      <c r="Q709" s="198"/>
      <c r="R709" s="198"/>
      <c r="S709" s="198"/>
      <c r="T709" s="198"/>
      <c r="U709" s="198"/>
      <c r="V709" s="198"/>
      <c r="W709" s="198"/>
      <c r="X709" s="263"/>
      <c r="Y709" s="138" t="s">
        <v>383</v>
      </c>
      <c r="Z709" s="119" t="s">
        <v>249</v>
      </c>
      <c r="AA709" s="119"/>
      <c r="AB709" s="137"/>
      <c r="AC709" s="730"/>
      <c r="AD709" s="730"/>
      <c r="AE709" s="730"/>
      <c r="AF709" s="730"/>
      <c r="AG709" s="109" t="str">
        <f>"ser_code = '" &amp; IF(A723="■",52,"") &amp; "'"</f>
        <v>ser_code = ''</v>
      </c>
      <c r="AH709" s="109" t="str">
        <f>"52:jininkbn_code:" &amp; IF(F723="■",1,IF(F724="■",2,0))</f>
        <v>52:jininkbn_code:0</v>
      </c>
      <c r="AI709" s="109" t="str">
        <f>"52:yakan_kinmu_code:" &amp; IF(I709="■",1,IF(M709="■",6,0))</f>
        <v>52:yakan_kinmu_code:0</v>
      </c>
      <c r="AJ709" s="109" t="str">
        <f>"52:field203:" &amp; IF(Y709="■",1,IF(Y710="■",2,0))</f>
        <v>52:field203:0</v>
      </c>
    </row>
    <row r="710" spans="1:36" s="109" customFormat="1" ht="18.75" customHeight="1" x14ac:dyDescent="0.2">
      <c r="A710" s="139"/>
      <c r="B710" s="123"/>
      <c r="C710" s="248"/>
      <c r="D710" s="249"/>
      <c r="E710" s="128"/>
      <c r="F710" s="142"/>
      <c r="G710" s="128"/>
      <c r="H710" s="741" t="s">
        <v>93</v>
      </c>
      <c r="I710" s="175" t="s">
        <v>383</v>
      </c>
      <c r="J710" s="168" t="s">
        <v>250</v>
      </c>
      <c r="K710" s="168"/>
      <c r="L710" s="172"/>
      <c r="M710" s="206" t="s">
        <v>383</v>
      </c>
      <c r="N710" s="168" t="s">
        <v>289</v>
      </c>
      <c r="O710" s="168"/>
      <c r="P710" s="172"/>
      <c r="Q710" s="206" t="s">
        <v>383</v>
      </c>
      <c r="R710" s="172" t="s">
        <v>290</v>
      </c>
      <c r="S710" s="172"/>
      <c r="T710" s="172"/>
      <c r="U710" s="206" t="s">
        <v>383</v>
      </c>
      <c r="V710" s="172" t="s">
        <v>291</v>
      </c>
      <c r="W710" s="172"/>
      <c r="X710" s="209"/>
      <c r="Y710" s="125" t="s">
        <v>383</v>
      </c>
      <c r="Z710" s="126" t="s">
        <v>255</v>
      </c>
      <c r="AA710" s="147"/>
      <c r="AB710" s="148"/>
      <c r="AC710" s="732"/>
      <c r="AD710" s="732"/>
      <c r="AE710" s="732"/>
      <c r="AF710" s="732"/>
      <c r="AG710" s="109" t="str">
        <f>"52:sisetukbn_code:" &amp; IF(D723="■",2,0)</f>
        <v>52:sisetukbn_code:0</v>
      </c>
      <c r="AI710" s="109" t="str">
        <f>"52:"&amp;IF(AND(I710="□",M710="□",Q710="□",U710="□",I711="□",M711="□",Q711="□",I712="□"),"ketu_doctor_code:0",IF(I710="■","ketu_doctor_code:1:ketu_kangos_code:1:ketu_kshoku_code:1:ketu_rryoho_code:1:ketu_sryoho_code:1:ketu_ksiensou_code:1:ketu_gengo_code:1",IF(M710="■","ketu_doctor_code:2","ketu_doctor_code:1")
&amp;IF(Q710="■",":ketu_kangos_code:2",":ketu_kangos_code:1")
&amp;IF(U710="■",":ketu_kshoku_code:2",":ketu_kshoku_code:1")
&amp;IF(I711="■",":ketu_rryoho_code:2",":ketu_rryoho_code:1")
&amp;IF(M711="■",":ketu_sryoho_code:2",":ketu_sryoho_code:1")
&amp;IF(Q711="■",":ketu_ksiensou_code:2",":ketu_ksiensou_code:1")
&amp;IF(I712="■",":ketu_gengo_code:2",":ketu_gengo_code:1")))</f>
        <v>52:ketu_doctor_code:0</v>
      </c>
    </row>
    <row r="711" spans="1:36" s="109" customFormat="1" ht="18.75" customHeight="1" x14ac:dyDescent="0.2">
      <c r="A711" s="139"/>
      <c r="B711" s="123"/>
      <c r="C711" s="248"/>
      <c r="D711" s="249"/>
      <c r="E711" s="128"/>
      <c r="F711" s="142"/>
      <c r="G711" s="128"/>
      <c r="H711" s="706"/>
      <c r="I711" s="125" t="s">
        <v>383</v>
      </c>
      <c r="J711" s="126" t="s">
        <v>292</v>
      </c>
      <c r="K711" s="126"/>
      <c r="L711" s="108"/>
      <c r="M711" s="118" t="s">
        <v>383</v>
      </c>
      <c r="N711" s="126" t="s">
        <v>293</v>
      </c>
      <c r="O711" s="126"/>
      <c r="P711" s="108"/>
      <c r="Q711" s="118" t="s">
        <v>383</v>
      </c>
      <c r="R711" s="108" t="s">
        <v>405</v>
      </c>
      <c r="S711" s="108"/>
      <c r="T711" s="108"/>
      <c r="U711" s="108"/>
      <c r="V711" s="108"/>
      <c r="W711" s="108"/>
      <c r="X711" s="178"/>
      <c r="Y711" s="154"/>
      <c r="Z711" s="147"/>
      <c r="AA711" s="147"/>
      <c r="AB711" s="148"/>
      <c r="AC711" s="732"/>
      <c r="AD711" s="732"/>
      <c r="AE711" s="732"/>
      <c r="AF711" s="732"/>
    </row>
    <row r="712" spans="1:36" s="109" customFormat="1" ht="18.75" customHeight="1" x14ac:dyDescent="0.2">
      <c r="A712" s="139"/>
      <c r="B712" s="123"/>
      <c r="C712" s="248"/>
      <c r="D712" s="249"/>
      <c r="E712" s="128"/>
      <c r="F712" s="142"/>
      <c r="G712" s="128"/>
      <c r="H712" s="742"/>
      <c r="I712" s="150" t="s">
        <v>383</v>
      </c>
      <c r="J712" s="169" t="s">
        <v>406</v>
      </c>
      <c r="K712" s="169"/>
      <c r="L712" s="151"/>
      <c r="M712" s="169"/>
      <c r="N712" s="169"/>
      <c r="O712" s="169"/>
      <c r="P712" s="151"/>
      <c r="Q712" s="169"/>
      <c r="R712" s="151"/>
      <c r="S712" s="151"/>
      <c r="T712" s="151"/>
      <c r="U712" s="151"/>
      <c r="V712" s="151"/>
      <c r="W712" s="151"/>
      <c r="X712" s="238"/>
      <c r="Y712" s="154"/>
      <c r="Z712" s="147"/>
      <c r="AA712" s="147"/>
      <c r="AB712" s="148"/>
      <c r="AC712" s="732"/>
      <c r="AD712" s="732"/>
      <c r="AE712" s="732"/>
      <c r="AF712" s="732"/>
    </row>
    <row r="713" spans="1:36" s="109" customFormat="1" ht="18.75" customHeight="1" x14ac:dyDescent="0.2">
      <c r="A713" s="139"/>
      <c r="B713" s="123"/>
      <c r="C713" s="248"/>
      <c r="D713" s="249"/>
      <c r="E713" s="128"/>
      <c r="F713" s="142"/>
      <c r="G713" s="128"/>
      <c r="H713" s="242" t="s">
        <v>98</v>
      </c>
      <c r="I713" s="156" t="s">
        <v>383</v>
      </c>
      <c r="J713" s="157" t="s">
        <v>265</v>
      </c>
      <c r="K713" s="158"/>
      <c r="L713" s="159"/>
      <c r="M713" s="160" t="s">
        <v>383</v>
      </c>
      <c r="N713" s="157" t="s">
        <v>266</v>
      </c>
      <c r="O713" s="158"/>
      <c r="P713" s="158"/>
      <c r="Q713" s="158"/>
      <c r="R713" s="158"/>
      <c r="S713" s="158"/>
      <c r="T713" s="158"/>
      <c r="U713" s="158"/>
      <c r="V713" s="158"/>
      <c r="W713" s="158"/>
      <c r="X713" s="166"/>
      <c r="Y713" s="154"/>
      <c r="Z713" s="147"/>
      <c r="AA713" s="147"/>
      <c r="AB713" s="148"/>
      <c r="AC713" s="732"/>
      <c r="AD713" s="732"/>
      <c r="AE713" s="732"/>
      <c r="AF713" s="732"/>
      <c r="AI713" s="109" t="str">
        <f>"52:unitcare_code:" &amp; IF(I713="■",1,IF(M713="■",2,0))</f>
        <v>52:unitcare_code:0</v>
      </c>
    </row>
    <row r="714" spans="1:36" s="109" customFormat="1" ht="18.75" customHeight="1" x14ac:dyDescent="0.2">
      <c r="A714" s="139"/>
      <c r="B714" s="123"/>
      <c r="C714" s="248"/>
      <c r="D714" s="249"/>
      <c r="E714" s="128"/>
      <c r="F714" s="142"/>
      <c r="G714" s="128"/>
      <c r="H714" s="242" t="s">
        <v>107</v>
      </c>
      <c r="I714" s="156" t="s">
        <v>383</v>
      </c>
      <c r="J714" s="157" t="s">
        <v>395</v>
      </c>
      <c r="K714" s="158"/>
      <c r="L714" s="159"/>
      <c r="M714" s="160" t="s">
        <v>383</v>
      </c>
      <c r="N714" s="157" t="s">
        <v>396</v>
      </c>
      <c r="O714" s="158"/>
      <c r="P714" s="158"/>
      <c r="Q714" s="158"/>
      <c r="R714" s="158"/>
      <c r="S714" s="158"/>
      <c r="T714" s="158"/>
      <c r="U714" s="158"/>
      <c r="V714" s="158"/>
      <c r="W714" s="158"/>
      <c r="X714" s="166"/>
      <c r="Y714" s="154"/>
      <c r="Z714" s="147"/>
      <c r="AA714" s="147"/>
      <c r="AB714" s="148"/>
      <c r="AC714" s="732"/>
      <c r="AD714" s="732"/>
      <c r="AE714" s="732"/>
      <c r="AF714" s="732"/>
      <c r="AI714" s="109" t="str">
        <f>"52:sintaikousoku_code:" &amp; IF(I714="■",1,IF(M714="■",2,0))</f>
        <v>52:sintaikousoku_code:0</v>
      </c>
    </row>
    <row r="715" spans="1:36" s="109" customFormat="1" ht="18.75" customHeight="1" x14ac:dyDescent="0.2">
      <c r="A715" s="139"/>
      <c r="B715" s="123"/>
      <c r="C715" s="248"/>
      <c r="D715" s="249"/>
      <c r="E715" s="128"/>
      <c r="F715" s="142"/>
      <c r="G715" s="128"/>
      <c r="H715" s="242" t="s">
        <v>200</v>
      </c>
      <c r="I715" s="156" t="s">
        <v>383</v>
      </c>
      <c r="J715" s="157" t="s">
        <v>395</v>
      </c>
      <c r="K715" s="158"/>
      <c r="L715" s="159"/>
      <c r="M715" s="160" t="s">
        <v>383</v>
      </c>
      <c r="N715" s="157" t="s">
        <v>396</v>
      </c>
      <c r="O715" s="158"/>
      <c r="P715" s="158"/>
      <c r="Q715" s="158"/>
      <c r="R715" s="158"/>
      <c r="S715" s="158"/>
      <c r="T715" s="158"/>
      <c r="U715" s="158"/>
      <c r="V715" s="158"/>
      <c r="W715" s="158"/>
      <c r="X715" s="166"/>
      <c r="Y715" s="154"/>
      <c r="Z715" s="147"/>
      <c r="AA715" s="147"/>
      <c r="AB715" s="148"/>
      <c r="AC715" s="732"/>
      <c r="AD715" s="732"/>
      <c r="AE715" s="732"/>
      <c r="AF715" s="732"/>
      <c r="AI715" s="109" t="str">
        <f>"52:field208:" &amp; IF(I715="■",1,IF(M715="■",2,0))</f>
        <v>52:field208:0</v>
      </c>
    </row>
    <row r="716" spans="1:36" s="109" customFormat="1" ht="19.5" customHeight="1" x14ac:dyDescent="0.2">
      <c r="A716" s="139"/>
      <c r="B716" s="123"/>
      <c r="C716" s="140"/>
      <c r="D716" s="141"/>
      <c r="E716" s="128"/>
      <c r="F716" s="142"/>
      <c r="G716" s="143"/>
      <c r="H716" s="155" t="s">
        <v>430</v>
      </c>
      <c r="I716" s="156" t="s">
        <v>383</v>
      </c>
      <c r="J716" s="157" t="s">
        <v>395</v>
      </c>
      <c r="K716" s="158"/>
      <c r="L716" s="159"/>
      <c r="M716" s="160" t="s">
        <v>383</v>
      </c>
      <c r="N716" s="157" t="s">
        <v>431</v>
      </c>
      <c r="O716" s="161"/>
      <c r="P716" s="157"/>
      <c r="Q716" s="162"/>
      <c r="R716" s="162"/>
      <c r="S716" s="162"/>
      <c r="T716" s="162"/>
      <c r="U716" s="162"/>
      <c r="V716" s="162"/>
      <c r="W716" s="162"/>
      <c r="X716" s="163"/>
      <c r="Y716" s="147"/>
      <c r="Z716" s="147"/>
      <c r="AA716" s="147"/>
      <c r="AB716" s="148"/>
      <c r="AC716" s="732"/>
      <c r="AD716" s="732"/>
      <c r="AE716" s="732"/>
      <c r="AF716" s="732"/>
      <c r="AI716" s="109" t="str">
        <f>"52:field223:" &amp; IF(I716="■",1,IF(M716="■",2,0))</f>
        <v>52:field223:0</v>
      </c>
    </row>
    <row r="717" spans="1:36" s="109" customFormat="1" ht="19.5" customHeight="1" x14ac:dyDescent="0.2">
      <c r="A717" s="139"/>
      <c r="B717" s="123"/>
      <c r="C717" s="140"/>
      <c r="D717" s="141"/>
      <c r="E717" s="128"/>
      <c r="F717" s="142"/>
      <c r="G717" s="143"/>
      <c r="H717" s="155" t="s">
        <v>448</v>
      </c>
      <c r="I717" s="156" t="s">
        <v>383</v>
      </c>
      <c r="J717" s="157" t="s">
        <v>395</v>
      </c>
      <c r="K717" s="158"/>
      <c r="L717" s="159"/>
      <c r="M717" s="160" t="s">
        <v>383</v>
      </c>
      <c r="N717" s="157" t="s">
        <v>431</v>
      </c>
      <c r="O717" s="161"/>
      <c r="P717" s="157"/>
      <c r="Q717" s="162"/>
      <c r="R717" s="162"/>
      <c r="S717" s="162"/>
      <c r="T717" s="162"/>
      <c r="U717" s="162"/>
      <c r="V717" s="162"/>
      <c r="W717" s="162"/>
      <c r="X717" s="163"/>
      <c r="Y717" s="147"/>
      <c r="Z717" s="147"/>
      <c r="AA717" s="147"/>
      <c r="AB717" s="148"/>
      <c r="AC717" s="732"/>
      <c r="AD717" s="732"/>
      <c r="AE717" s="732"/>
      <c r="AF717" s="732"/>
      <c r="AI717" s="109" t="str">
        <f>"52:field232:" &amp; IF(I717="■",1,IF(M717="■",2,0))</f>
        <v>52:field232:0</v>
      </c>
    </row>
    <row r="718" spans="1:36" s="109" customFormat="1" ht="37.5" customHeight="1" x14ac:dyDescent="0.2">
      <c r="A718" s="139"/>
      <c r="B718" s="123"/>
      <c r="C718" s="248"/>
      <c r="D718" s="249"/>
      <c r="E718" s="128"/>
      <c r="F718" s="142"/>
      <c r="G718" s="128"/>
      <c r="H718" s="164" t="s">
        <v>202</v>
      </c>
      <c r="I718" s="150" t="s">
        <v>383</v>
      </c>
      <c r="J718" s="169" t="s">
        <v>250</v>
      </c>
      <c r="K718" s="179"/>
      <c r="L718" s="203" t="s">
        <v>383</v>
      </c>
      <c r="M718" s="169" t="s">
        <v>267</v>
      </c>
      <c r="N718" s="158"/>
      <c r="O718" s="157"/>
      <c r="P718" s="157"/>
      <c r="Q718" s="157"/>
      <c r="R718" s="157"/>
      <c r="S718" s="157"/>
      <c r="T718" s="157"/>
      <c r="U718" s="157"/>
      <c r="V718" s="157"/>
      <c r="W718" s="157"/>
      <c r="X718" s="165"/>
      <c r="Y718" s="154"/>
      <c r="Z718" s="147"/>
      <c r="AA718" s="147"/>
      <c r="AB718" s="148"/>
      <c r="AC718" s="732"/>
      <c r="AD718" s="732"/>
      <c r="AE718" s="732"/>
      <c r="AF718" s="732"/>
      <c r="AI718" s="109" t="str">
        <f>"52:field206:" &amp; IF(I718="■",1,IF(L718="■",2,0))</f>
        <v>52:field206:0</v>
      </c>
    </row>
    <row r="719" spans="1:36" s="109" customFormat="1" ht="18.75" customHeight="1" x14ac:dyDescent="0.2">
      <c r="A719" s="139"/>
      <c r="B719" s="123"/>
      <c r="C719" s="248"/>
      <c r="D719" s="249"/>
      <c r="E719" s="128"/>
      <c r="F719" s="142"/>
      <c r="G719" s="128"/>
      <c r="H719" s="242" t="s">
        <v>111</v>
      </c>
      <c r="I719" s="150" t="s">
        <v>383</v>
      </c>
      <c r="J719" s="169" t="s">
        <v>250</v>
      </c>
      <c r="K719" s="179"/>
      <c r="L719" s="203" t="s">
        <v>383</v>
      </c>
      <c r="M719" s="169" t="s">
        <v>267</v>
      </c>
      <c r="N719" s="158"/>
      <c r="O719" s="157"/>
      <c r="P719" s="157"/>
      <c r="Q719" s="157"/>
      <c r="R719" s="157"/>
      <c r="S719" s="157"/>
      <c r="T719" s="157"/>
      <c r="U719" s="157"/>
      <c r="V719" s="157"/>
      <c r="W719" s="157"/>
      <c r="X719" s="165"/>
      <c r="Y719" s="154"/>
      <c r="Z719" s="147"/>
      <c r="AA719" s="147"/>
      <c r="AB719" s="148"/>
      <c r="AC719" s="732"/>
      <c r="AD719" s="732"/>
      <c r="AE719" s="732"/>
      <c r="AF719" s="732"/>
      <c r="AI719" s="109" t="str">
        <f>"52:yakinhaiti_code:" &amp; IF(I719="■",1,IF(L719="■",2,0))</f>
        <v>52:yakinhaiti_code:0</v>
      </c>
    </row>
    <row r="720" spans="1:36" s="109" customFormat="1" ht="18.75" customHeight="1" x14ac:dyDescent="0.2">
      <c r="A720" s="139"/>
      <c r="B720" s="123"/>
      <c r="C720" s="248"/>
      <c r="D720" s="249"/>
      <c r="E720" s="128"/>
      <c r="F720" s="142"/>
      <c r="G720" s="128"/>
      <c r="H720" s="242" t="s">
        <v>138</v>
      </c>
      <c r="I720" s="150" t="s">
        <v>383</v>
      </c>
      <c r="J720" s="169" t="s">
        <v>250</v>
      </c>
      <c r="K720" s="179"/>
      <c r="L720" s="203" t="s">
        <v>383</v>
      </c>
      <c r="M720" s="169" t="s">
        <v>267</v>
      </c>
      <c r="N720" s="158"/>
      <c r="O720" s="157"/>
      <c r="P720" s="157"/>
      <c r="Q720" s="157"/>
      <c r="R720" s="157"/>
      <c r="S720" s="157"/>
      <c r="T720" s="157"/>
      <c r="U720" s="157"/>
      <c r="V720" s="157"/>
      <c r="W720" s="157"/>
      <c r="X720" s="165"/>
      <c r="Y720" s="154"/>
      <c r="Z720" s="147"/>
      <c r="AA720" s="147"/>
      <c r="AB720" s="148"/>
      <c r="AC720" s="732"/>
      <c r="AD720" s="732"/>
      <c r="AE720" s="732"/>
      <c r="AF720" s="732"/>
      <c r="AI720" s="109" t="str">
        <f>"52:ninti_riha_code:" &amp; IF(I720="■",1,IF(L720="■",2,0))</f>
        <v>52:ninti_riha_code:0</v>
      </c>
    </row>
    <row r="721" spans="1:35" s="109" customFormat="1" ht="18.75" customHeight="1" x14ac:dyDescent="0.2">
      <c r="A721" s="139"/>
      <c r="B721" s="123"/>
      <c r="C721" s="248"/>
      <c r="D721" s="249"/>
      <c r="E721" s="128"/>
      <c r="F721" s="142"/>
      <c r="G721" s="128"/>
      <c r="H721" s="242" t="s">
        <v>100</v>
      </c>
      <c r="I721" s="150" t="s">
        <v>383</v>
      </c>
      <c r="J721" s="169" t="s">
        <v>250</v>
      </c>
      <c r="K721" s="179"/>
      <c r="L721" s="203" t="s">
        <v>383</v>
      </c>
      <c r="M721" s="169" t="s">
        <v>267</v>
      </c>
      <c r="N721" s="158"/>
      <c r="O721" s="158"/>
      <c r="P721" s="158"/>
      <c r="Q721" s="158"/>
      <c r="R721" s="158"/>
      <c r="S721" s="158"/>
      <c r="T721" s="158"/>
      <c r="U721" s="158"/>
      <c r="V721" s="158"/>
      <c r="W721" s="158"/>
      <c r="X721" s="166"/>
      <c r="Y721" s="154"/>
      <c r="Z721" s="147"/>
      <c r="AA721" s="147"/>
      <c r="AB721" s="148"/>
      <c r="AC721" s="732"/>
      <c r="AD721" s="732"/>
      <c r="AE721" s="732"/>
      <c r="AF721" s="732"/>
      <c r="AI721" s="109" t="str">
        <f>"52:ninticare_code:" &amp; IF(I721="■",1,IF(L721="■",2,0))</f>
        <v>52:ninticare_code:0</v>
      </c>
    </row>
    <row r="722" spans="1:35" s="109" customFormat="1" ht="18.75" customHeight="1" x14ac:dyDescent="0.2">
      <c r="A722" s="139"/>
      <c r="B722" s="123"/>
      <c r="C722" s="248"/>
      <c r="D722" s="249"/>
      <c r="E722" s="128"/>
      <c r="F722" s="142"/>
      <c r="G722" s="128"/>
      <c r="H722" s="245" t="s">
        <v>140</v>
      </c>
      <c r="I722" s="150" t="s">
        <v>383</v>
      </c>
      <c r="J722" s="169" t="s">
        <v>250</v>
      </c>
      <c r="K722" s="179"/>
      <c r="L722" s="203" t="s">
        <v>383</v>
      </c>
      <c r="M722" s="169" t="s">
        <v>267</v>
      </c>
      <c r="N722" s="158"/>
      <c r="O722" s="158"/>
      <c r="P722" s="158"/>
      <c r="Q722" s="158"/>
      <c r="R722" s="158"/>
      <c r="S722" s="158"/>
      <c r="T722" s="158"/>
      <c r="U722" s="158"/>
      <c r="V722" s="158"/>
      <c r="W722" s="158"/>
      <c r="X722" s="166"/>
      <c r="Y722" s="154"/>
      <c r="Z722" s="147"/>
      <c r="AA722" s="147"/>
      <c r="AB722" s="148"/>
      <c r="AC722" s="732"/>
      <c r="AD722" s="732"/>
      <c r="AE722" s="732"/>
      <c r="AF722" s="732"/>
      <c r="AI722" s="109" t="str">
        <f>"52:jyakuninti_uke_code:" &amp; IF(I722="■",1,IF(L722="■",2,0))</f>
        <v>52:jyakuninti_uke_code:0</v>
      </c>
    </row>
    <row r="723" spans="1:35" s="109" customFormat="1" ht="18.75" customHeight="1" x14ac:dyDescent="0.2">
      <c r="A723" s="125" t="s">
        <v>383</v>
      </c>
      <c r="B723" s="123">
        <v>52</v>
      </c>
      <c r="C723" s="248" t="s">
        <v>196</v>
      </c>
      <c r="D723" s="125" t="s">
        <v>383</v>
      </c>
      <c r="E723" s="128" t="s">
        <v>408</v>
      </c>
      <c r="F723" s="125" t="s">
        <v>383</v>
      </c>
      <c r="G723" s="128" t="s">
        <v>313</v>
      </c>
      <c r="H723" s="245" t="s">
        <v>218</v>
      </c>
      <c r="I723" s="156" t="s">
        <v>383</v>
      </c>
      <c r="J723" s="157" t="s">
        <v>250</v>
      </c>
      <c r="K723" s="157"/>
      <c r="L723" s="160" t="s">
        <v>383</v>
      </c>
      <c r="M723" s="157" t="s">
        <v>251</v>
      </c>
      <c r="N723" s="157"/>
      <c r="O723" s="160" t="s">
        <v>383</v>
      </c>
      <c r="P723" s="157" t="s">
        <v>252</v>
      </c>
      <c r="Q723" s="158"/>
      <c r="R723" s="158"/>
      <c r="S723" s="157"/>
      <c r="T723" s="157"/>
      <c r="U723" s="157"/>
      <c r="V723" s="157"/>
      <c r="W723" s="157"/>
      <c r="X723" s="165"/>
      <c r="Y723" s="154"/>
      <c r="Z723" s="147"/>
      <c r="AA723" s="147"/>
      <c r="AB723" s="148"/>
      <c r="AC723" s="732"/>
      <c r="AD723" s="732"/>
      <c r="AE723" s="732"/>
      <c r="AF723" s="732"/>
      <c r="AI723" s="109" t="str">
        <f>"52:zaitaku_hukki_code:" &amp; IF(I723="■",1,IF(L723="■",2,IF(O723="■",3,0)))</f>
        <v>52:zaitaku_hukki_code:0</v>
      </c>
    </row>
    <row r="724" spans="1:35" s="109" customFormat="1" ht="18.75" customHeight="1" x14ac:dyDescent="0.2">
      <c r="A724" s="139"/>
      <c r="B724" s="123"/>
      <c r="C724" s="248"/>
      <c r="D724" s="249"/>
      <c r="E724" s="128"/>
      <c r="F724" s="125" t="s">
        <v>383</v>
      </c>
      <c r="G724" s="128" t="s">
        <v>314</v>
      </c>
      <c r="H724" s="242" t="s">
        <v>91</v>
      </c>
      <c r="I724" s="150" t="s">
        <v>383</v>
      </c>
      <c r="J724" s="169" t="s">
        <v>250</v>
      </c>
      <c r="K724" s="179"/>
      <c r="L724" s="203" t="s">
        <v>383</v>
      </c>
      <c r="M724" s="169" t="s">
        <v>267</v>
      </c>
      <c r="N724" s="158"/>
      <c r="O724" s="158"/>
      <c r="P724" s="158"/>
      <c r="Q724" s="158"/>
      <c r="R724" s="158"/>
      <c r="S724" s="158"/>
      <c r="T724" s="158"/>
      <c r="U724" s="158"/>
      <c r="V724" s="158"/>
      <c r="W724" s="158"/>
      <c r="X724" s="166"/>
      <c r="Y724" s="154"/>
      <c r="Z724" s="147"/>
      <c r="AA724" s="147"/>
      <c r="AB724" s="148"/>
      <c r="AC724" s="732"/>
      <c r="AD724" s="732"/>
      <c r="AE724" s="732"/>
      <c r="AF724" s="732"/>
      <c r="AI724" s="109" t="str">
        <f>"52:terminal_code:" &amp; IF(I724="■",1,IF(L724="■",2,0))</f>
        <v>52:terminal_code:0</v>
      </c>
    </row>
    <row r="725" spans="1:35" s="109" customFormat="1" ht="18.75" customHeight="1" x14ac:dyDescent="0.2">
      <c r="A725" s="139"/>
      <c r="B725" s="123"/>
      <c r="C725" s="248"/>
      <c r="D725" s="249"/>
      <c r="E725" s="128"/>
      <c r="F725" s="249"/>
      <c r="G725" s="128"/>
      <c r="H725" s="242" t="s">
        <v>199</v>
      </c>
      <c r="I725" s="150" t="s">
        <v>383</v>
      </c>
      <c r="J725" s="169" t="s">
        <v>250</v>
      </c>
      <c r="K725" s="179"/>
      <c r="L725" s="203" t="s">
        <v>383</v>
      </c>
      <c r="M725" s="169" t="s">
        <v>267</v>
      </c>
      <c r="N725" s="158"/>
      <c r="O725" s="158"/>
      <c r="P725" s="158"/>
      <c r="Q725" s="158"/>
      <c r="R725" s="158"/>
      <c r="S725" s="158"/>
      <c r="T725" s="158"/>
      <c r="U725" s="158"/>
      <c r="V725" s="158"/>
      <c r="W725" s="158"/>
      <c r="X725" s="166"/>
      <c r="Y725" s="154"/>
      <c r="Z725" s="147"/>
      <c r="AA725" s="147"/>
      <c r="AB725" s="148"/>
      <c r="AC725" s="732"/>
      <c r="AD725" s="732"/>
      <c r="AE725" s="732"/>
      <c r="AF725" s="732"/>
      <c r="AI725" s="109" t="str">
        <f>"52:field207:" &amp; IF(I725="■",1,IF(L725="■",2,0))</f>
        <v>52:field207:0</v>
      </c>
    </row>
    <row r="726" spans="1:35" s="109" customFormat="1" ht="18.75" customHeight="1" x14ac:dyDescent="0.2">
      <c r="A726" s="139"/>
      <c r="B726" s="123"/>
      <c r="C726" s="248"/>
      <c r="D726" s="249"/>
      <c r="E726" s="128"/>
      <c r="F726" s="249"/>
      <c r="G726" s="128"/>
      <c r="H726" s="242" t="s">
        <v>112</v>
      </c>
      <c r="I726" s="150" t="s">
        <v>383</v>
      </c>
      <c r="J726" s="169" t="s">
        <v>250</v>
      </c>
      <c r="K726" s="179"/>
      <c r="L726" s="203" t="s">
        <v>383</v>
      </c>
      <c r="M726" s="169" t="s">
        <v>267</v>
      </c>
      <c r="N726" s="158"/>
      <c r="O726" s="157"/>
      <c r="P726" s="157"/>
      <c r="Q726" s="157"/>
      <c r="R726" s="157"/>
      <c r="S726" s="157"/>
      <c r="T726" s="157"/>
      <c r="U726" s="157"/>
      <c r="V726" s="157"/>
      <c r="W726" s="157"/>
      <c r="X726" s="165"/>
      <c r="Y726" s="154"/>
      <c r="Z726" s="147"/>
      <c r="AA726" s="147"/>
      <c r="AB726" s="148"/>
      <c r="AC726" s="732"/>
      <c r="AD726" s="732"/>
      <c r="AE726" s="732"/>
      <c r="AF726" s="732"/>
      <c r="AI726" s="109" t="str">
        <f>"52:ryouyoushoku_code:" &amp; IF(I726="■",1,IF(L726="■",2,0))</f>
        <v>52:ryouyoushoku_code:0</v>
      </c>
    </row>
    <row r="727" spans="1:35" s="109" customFormat="1" ht="18.75" customHeight="1" x14ac:dyDescent="0.2">
      <c r="A727" s="139"/>
      <c r="B727" s="123"/>
      <c r="C727" s="248"/>
      <c r="D727" s="249"/>
      <c r="E727" s="128"/>
      <c r="F727" s="142"/>
      <c r="G727" s="128"/>
      <c r="H727" s="242" t="s">
        <v>116</v>
      </c>
      <c r="I727" s="156" t="s">
        <v>383</v>
      </c>
      <c r="J727" s="157" t="s">
        <v>250</v>
      </c>
      <c r="K727" s="157"/>
      <c r="L727" s="160" t="s">
        <v>383</v>
      </c>
      <c r="M727" s="157" t="s">
        <v>251</v>
      </c>
      <c r="N727" s="157"/>
      <c r="O727" s="160" t="s">
        <v>383</v>
      </c>
      <c r="P727" s="157" t="s">
        <v>252</v>
      </c>
      <c r="Q727" s="158"/>
      <c r="R727" s="158"/>
      <c r="S727" s="157"/>
      <c r="T727" s="157"/>
      <c r="U727" s="157"/>
      <c r="V727" s="157"/>
      <c r="W727" s="157"/>
      <c r="X727" s="165"/>
      <c r="Y727" s="154"/>
      <c r="Z727" s="147"/>
      <c r="AA727" s="147"/>
      <c r="AB727" s="148"/>
      <c r="AC727" s="732"/>
      <c r="AD727" s="732"/>
      <c r="AE727" s="732"/>
      <c r="AF727" s="732"/>
      <c r="AI727" s="109" t="str">
        <f>"52:ninti_senmoncare_code:" &amp; IF(I727="■",1,IF(O727="■",3,IF(L727="■",2,0)))</f>
        <v>52:ninti_senmoncare_code:0</v>
      </c>
    </row>
    <row r="728" spans="1:35" s="109" customFormat="1" ht="18.75" customHeight="1" x14ac:dyDescent="0.2">
      <c r="A728" s="139"/>
      <c r="B728" s="123"/>
      <c r="C728" s="248"/>
      <c r="D728" s="249"/>
      <c r="E728" s="128"/>
      <c r="F728" s="142"/>
      <c r="G728" s="128"/>
      <c r="H728" s="242" t="s">
        <v>447</v>
      </c>
      <c r="I728" s="156" t="s">
        <v>383</v>
      </c>
      <c r="J728" s="157" t="s">
        <v>250</v>
      </c>
      <c r="K728" s="157"/>
      <c r="L728" s="160" t="s">
        <v>383</v>
      </c>
      <c r="M728" s="157" t="s">
        <v>251</v>
      </c>
      <c r="N728" s="157"/>
      <c r="O728" s="160" t="s">
        <v>383</v>
      </c>
      <c r="P728" s="157" t="s">
        <v>252</v>
      </c>
      <c r="Q728" s="158"/>
      <c r="R728" s="158"/>
      <c r="S728" s="158"/>
      <c r="T728" s="158"/>
      <c r="U728" s="158"/>
      <c r="V728" s="158"/>
      <c r="W728" s="158"/>
      <c r="X728" s="166"/>
      <c r="Y728" s="154"/>
      <c r="Z728" s="147"/>
      <c r="AA728" s="147"/>
      <c r="AB728" s="148"/>
      <c r="AC728" s="732"/>
      <c r="AD728" s="732"/>
      <c r="AE728" s="732"/>
      <c r="AF728" s="732"/>
      <c r="AI728" s="109" t="str">
        <f>"52:field228:" &amp; IF(I728="■",1,IF(L728="■",2,IF(O728="■",3,0)))</f>
        <v>52:field228:0</v>
      </c>
    </row>
    <row r="729" spans="1:35" s="109" customFormat="1" ht="18.75" customHeight="1" x14ac:dyDescent="0.2">
      <c r="A729" s="139"/>
      <c r="B729" s="123"/>
      <c r="C729" s="248"/>
      <c r="D729" s="249"/>
      <c r="E729" s="128"/>
      <c r="F729" s="142"/>
      <c r="G729" s="128"/>
      <c r="H729" s="239" t="s">
        <v>226</v>
      </c>
      <c r="I729" s="150" t="s">
        <v>383</v>
      </c>
      <c r="J729" s="169" t="s">
        <v>250</v>
      </c>
      <c r="K729" s="179"/>
      <c r="L729" s="160" t="s">
        <v>383</v>
      </c>
      <c r="M729" s="157" t="s">
        <v>268</v>
      </c>
      <c r="N729" s="157"/>
      <c r="O729" s="160" t="s">
        <v>383</v>
      </c>
      <c r="P729" s="157" t="s">
        <v>269</v>
      </c>
      <c r="Q729" s="158"/>
      <c r="R729" s="158"/>
      <c r="S729" s="158"/>
      <c r="T729" s="158"/>
      <c r="U729" s="158"/>
      <c r="V729" s="158"/>
      <c r="W729" s="158"/>
      <c r="X729" s="166"/>
      <c r="Y729" s="154"/>
      <c r="Z729" s="147"/>
      <c r="AA729" s="147"/>
      <c r="AB729" s="148"/>
      <c r="AC729" s="732"/>
      <c r="AD729" s="732"/>
      <c r="AE729" s="732"/>
      <c r="AF729" s="732"/>
      <c r="AI729" s="109" t="str">
        <f>"52:field216:" &amp; IF(I729="■",1,IF(L729="■",2,IF(O729="■",3,0)))</f>
        <v>52:field216:0</v>
      </c>
    </row>
    <row r="730" spans="1:35" s="109" customFormat="1" ht="18.75" customHeight="1" x14ac:dyDescent="0.2">
      <c r="A730" s="139"/>
      <c r="B730" s="123"/>
      <c r="C730" s="248"/>
      <c r="D730" s="249"/>
      <c r="E730" s="128"/>
      <c r="F730" s="142"/>
      <c r="G730" s="128"/>
      <c r="H730" s="242" t="s">
        <v>190</v>
      </c>
      <c r="I730" s="150" t="s">
        <v>383</v>
      </c>
      <c r="J730" s="169" t="s">
        <v>250</v>
      </c>
      <c r="K730" s="179"/>
      <c r="L730" s="203" t="s">
        <v>383</v>
      </c>
      <c r="M730" s="169" t="s">
        <v>267</v>
      </c>
      <c r="N730" s="158"/>
      <c r="O730" s="158"/>
      <c r="P730" s="158"/>
      <c r="Q730" s="158"/>
      <c r="R730" s="158"/>
      <c r="S730" s="158"/>
      <c r="T730" s="158"/>
      <c r="U730" s="158"/>
      <c r="V730" s="158"/>
      <c r="W730" s="158"/>
      <c r="X730" s="166"/>
      <c r="Y730" s="154"/>
      <c r="Z730" s="147"/>
      <c r="AA730" s="147"/>
      <c r="AB730" s="148"/>
      <c r="AC730" s="732"/>
      <c r="AD730" s="732"/>
      <c r="AE730" s="732"/>
      <c r="AF730" s="732"/>
      <c r="AI730" s="109" t="str">
        <f>"52:field177:" &amp; IF(I730="■",1,IF(L730="■",2,0))</f>
        <v>52:field177:0</v>
      </c>
    </row>
    <row r="731" spans="1:35" s="109" customFormat="1" ht="18.75" customHeight="1" x14ac:dyDescent="0.2">
      <c r="A731" s="139"/>
      <c r="B731" s="123"/>
      <c r="C731" s="248"/>
      <c r="D731" s="249"/>
      <c r="E731" s="128"/>
      <c r="F731" s="142"/>
      <c r="G731" s="128"/>
      <c r="H731" s="239" t="s">
        <v>198</v>
      </c>
      <c r="I731" s="150" t="s">
        <v>383</v>
      </c>
      <c r="J731" s="169" t="s">
        <v>250</v>
      </c>
      <c r="K731" s="179"/>
      <c r="L731" s="203" t="s">
        <v>383</v>
      </c>
      <c r="M731" s="169" t="s">
        <v>267</v>
      </c>
      <c r="N731" s="158"/>
      <c r="O731" s="158"/>
      <c r="P731" s="158"/>
      <c r="Q731" s="158"/>
      <c r="R731" s="158"/>
      <c r="S731" s="158"/>
      <c r="T731" s="158"/>
      <c r="U731" s="158"/>
      <c r="V731" s="158"/>
      <c r="W731" s="158"/>
      <c r="X731" s="166"/>
      <c r="Y731" s="154"/>
      <c r="Z731" s="147"/>
      <c r="AA731" s="147"/>
      <c r="AB731" s="148"/>
      <c r="AC731" s="732"/>
      <c r="AD731" s="732"/>
      <c r="AE731" s="732"/>
      <c r="AF731" s="732"/>
      <c r="AI731" s="109" t="str">
        <f>"52:field210:" &amp; IF(I731="■",1,IF(L731="■",2,0))</f>
        <v>52:field210:0</v>
      </c>
    </row>
    <row r="732" spans="1:35" s="109" customFormat="1" ht="18.75" customHeight="1" x14ac:dyDescent="0.2">
      <c r="A732" s="139"/>
      <c r="B732" s="123"/>
      <c r="C732" s="248"/>
      <c r="D732" s="249"/>
      <c r="E732" s="128"/>
      <c r="F732" s="142"/>
      <c r="G732" s="128"/>
      <c r="H732" s="242" t="s">
        <v>225</v>
      </c>
      <c r="I732" s="150" t="s">
        <v>383</v>
      </c>
      <c r="J732" s="169" t="s">
        <v>250</v>
      </c>
      <c r="K732" s="179"/>
      <c r="L732" s="203" t="s">
        <v>383</v>
      </c>
      <c r="M732" s="169" t="s">
        <v>267</v>
      </c>
      <c r="N732" s="158"/>
      <c r="O732" s="158"/>
      <c r="P732" s="158"/>
      <c r="Q732" s="158"/>
      <c r="R732" s="158"/>
      <c r="S732" s="158"/>
      <c r="T732" s="158"/>
      <c r="U732" s="158"/>
      <c r="V732" s="158"/>
      <c r="W732" s="158"/>
      <c r="X732" s="166"/>
      <c r="Y732" s="154"/>
      <c r="Z732" s="147"/>
      <c r="AA732" s="147"/>
      <c r="AB732" s="148"/>
      <c r="AC732" s="732"/>
      <c r="AD732" s="732"/>
      <c r="AE732" s="732"/>
      <c r="AF732" s="732"/>
      <c r="AI732" s="109" t="str">
        <f>"52:field211:" &amp; IF(I732="■",1,IF(L732="■",2,0))</f>
        <v>52:field211:0</v>
      </c>
    </row>
    <row r="733" spans="1:35" s="109" customFormat="1" ht="18.75" customHeight="1" x14ac:dyDescent="0.2">
      <c r="A733" s="139"/>
      <c r="B733" s="123"/>
      <c r="C733" s="248"/>
      <c r="D733" s="249"/>
      <c r="E733" s="128"/>
      <c r="F733" s="142"/>
      <c r="G733" s="128"/>
      <c r="H733" s="242" t="s">
        <v>197</v>
      </c>
      <c r="I733" s="150" t="s">
        <v>383</v>
      </c>
      <c r="J733" s="169" t="s">
        <v>250</v>
      </c>
      <c r="K733" s="179"/>
      <c r="L733" s="203" t="s">
        <v>383</v>
      </c>
      <c r="M733" s="169" t="s">
        <v>267</v>
      </c>
      <c r="N733" s="158"/>
      <c r="O733" s="158"/>
      <c r="P733" s="158"/>
      <c r="Q733" s="158"/>
      <c r="R733" s="158"/>
      <c r="S733" s="158"/>
      <c r="T733" s="158"/>
      <c r="U733" s="158"/>
      <c r="V733" s="158"/>
      <c r="W733" s="158"/>
      <c r="X733" s="166"/>
      <c r="Y733" s="154"/>
      <c r="Z733" s="147"/>
      <c r="AA733" s="147"/>
      <c r="AB733" s="148"/>
      <c r="AC733" s="732"/>
      <c r="AD733" s="732"/>
      <c r="AE733" s="732"/>
      <c r="AF733" s="732"/>
      <c r="AI733" s="109" t="str">
        <f>"52:field212:" &amp; IF(I733="■",1,IF(L733="■",2,0))</f>
        <v>52:field212:0</v>
      </c>
    </row>
    <row r="734" spans="1:35" s="109" customFormat="1" ht="18.75" customHeight="1" x14ac:dyDescent="0.2">
      <c r="A734" s="139"/>
      <c r="B734" s="123"/>
      <c r="C734" s="248"/>
      <c r="D734" s="249"/>
      <c r="E734" s="128"/>
      <c r="F734" s="142"/>
      <c r="G734" s="128"/>
      <c r="H734" s="242" t="s">
        <v>206</v>
      </c>
      <c r="I734" s="150" t="s">
        <v>383</v>
      </c>
      <c r="J734" s="169" t="s">
        <v>250</v>
      </c>
      <c r="K734" s="179"/>
      <c r="L734" s="203" t="s">
        <v>383</v>
      </c>
      <c r="M734" s="169" t="s">
        <v>267</v>
      </c>
      <c r="N734" s="158"/>
      <c r="O734" s="158"/>
      <c r="P734" s="158"/>
      <c r="Q734" s="158"/>
      <c r="R734" s="158"/>
      <c r="S734" s="158"/>
      <c r="T734" s="158"/>
      <c r="U734" s="158"/>
      <c r="V734" s="158"/>
      <c r="W734" s="158"/>
      <c r="X734" s="166"/>
      <c r="Y734" s="154"/>
      <c r="Z734" s="147"/>
      <c r="AA734" s="147"/>
      <c r="AB734" s="148"/>
      <c r="AC734" s="732"/>
      <c r="AD734" s="732"/>
      <c r="AE734" s="732"/>
      <c r="AF734" s="732"/>
      <c r="AI734" s="109" t="str">
        <f>"52:field209:" &amp; IF(I734="■",1,IF(L734="■",2,0))</f>
        <v>52:field209:0</v>
      </c>
    </row>
    <row r="735" spans="1:35" s="109" customFormat="1" ht="18.75" customHeight="1" x14ac:dyDescent="0.2">
      <c r="A735" s="139"/>
      <c r="B735" s="123"/>
      <c r="C735" s="248"/>
      <c r="D735" s="249"/>
      <c r="E735" s="128"/>
      <c r="F735" s="142"/>
      <c r="G735" s="128"/>
      <c r="H735" s="242" t="s">
        <v>461</v>
      </c>
      <c r="I735" s="156" t="s">
        <v>383</v>
      </c>
      <c r="J735" s="157" t="s">
        <v>250</v>
      </c>
      <c r="K735" s="157"/>
      <c r="L735" s="160" t="s">
        <v>383</v>
      </c>
      <c r="M735" s="169" t="s">
        <v>267</v>
      </c>
      <c r="N735" s="157"/>
      <c r="O735" s="157"/>
      <c r="P735" s="157"/>
      <c r="Q735" s="158"/>
      <c r="R735" s="158"/>
      <c r="S735" s="158"/>
      <c r="T735" s="158"/>
      <c r="U735" s="158"/>
      <c r="V735" s="158"/>
      <c r="W735" s="158"/>
      <c r="X735" s="166"/>
      <c r="Y735" s="154"/>
      <c r="Z735" s="147"/>
      <c r="AA735" s="147"/>
      <c r="AB735" s="148"/>
      <c r="AC735" s="732"/>
      <c r="AD735" s="732"/>
      <c r="AE735" s="732"/>
      <c r="AF735" s="732"/>
      <c r="AI735" s="109" t="str">
        <f>"52:field226:" &amp; IF(I735="■",1,IF(L735="■",2,0))</f>
        <v>52:field226:0</v>
      </c>
    </row>
    <row r="736" spans="1:35" s="109" customFormat="1" ht="18.75" customHeight="1" x14ac:dyDescent="0.2">
      <c r="A736" s="139"/>
      <c r="B736" s="123"/>
      <c r="C736" s="248"/>
      <c r="D736" s="249"/>
      <c r="E736" s="128"/>
      <c r="F736" s="142"/>
      <c r="G736" s="128"/>
      <c r="H736" s="242" t="s">
        <v>462</v>
      </c>
      <c r="I736" s="156" t="s">
        <v>383</v>
      </c>
      <c r="J736" s="157" t="s">
        <v>250</v>
      </c>
      <c r="K736" s="157"/>
      <c r="L736" s="160" t="s">
        <v>383</v>
      </c>
      <c r="M736" s="169" t="s">
        <v>267</v>
      </c>
      <c r="N736" s="157"/>
      <c r="O736" s="157"/>
      <c r="P736" s="157"/>
      <c r="Q736" s="158"/>
      <c r="R736" s="158"/>
      <c r="S736" s="158"/>
      <c r="T736" s="158"/>
      <c r="U736" s="158"/>
      <c r="V736" s="158"/>
      <c r="W736" s="158"/>
      <c r="X736" s="166"/>
      <c r="Y736" s="154"/>
      <c r="Z736" s="147"/>
      <c r="AA736" s="147"/>
      <c r="AB736" s="148"/>
      <c r="AC736" s="732"/>
      <c r="AD736" s="732"/>
      <c r="AE736" s="732"/>
      <c r="AF736" s="732"/>
      <c r="AI736" s="109" t="str">
        <f>"52:field227:" &amp; IF(I736="■",1,IF(L736="■",2,0))</f>
        <v>52:field227:0</v>
      </c>
    </row>
    <row r="737" spans="1:36" s="109" customFormat="1" ht="18.75" customHeight="1" x14ac:dyDescent="0.2">
      <c r="A737" s="139"/>
      <c r="B737" s="123"/>
      <c r="C737" s="248"/>
      <c r="D737" s="249"/>
      <c r="E737" s="128"/>
      <c r="F737" s="142"/>
      <c r="G737" s="128"/>
      <c r="H737" s="250" t="s">
        <v>442</v>
      </c>
      <c r="I737" s="156" t="s">
        <v>383</v>
      </c>
      <c r="J737" s="157" t="s">
        <v>250</v>
      </c>
      <c r="K737" s="157"/>
      <c r="L737" s="160" t="s">
        <v>383</v>
      </c>
      <c r="M737" s="157" t="s">
        <v>251</v>
      </c>
      <c r="N737" s="157"/>
      <c r="O737" s="160" t="s">
        <v>383</v>
      </c>
      <c r="P737" s="157" t="s">
        <v>252</v>
      </c>
      <c r="Q737" s="162"/>
      <c r="R737" s="162"/>
      <c r="S737" s="162"/>
      <c r="T737" s="162"/>
      <c r="U737" s="251"/>
      <c r="V737" s="251"/>
      <c r="W737" s="251"/>
      <c r="X737" s="252"/>
      <c r="Y737" s="154"/>
      <c r="Z737" s="147"/>
      <c r="AA737" s="147"/>
      <c r="AB737" s="148"/>
      <c r="AC737" s="732"/>
      <c r="AD737" s="732"/>
      <c r="AE737" s="732"/>
      <c r="AF737" s="732"/>
      <c r="AI737" s="109" t="str">
        <f>"52:field225:" &amp; IF(I737="■",1,IF(L737="■",2,IF(O737="■",3,0)))</f>
        <v>52:field225:0</v>
      </c>
    </row>
    <row r="738" spans="1:36" s="109" customFormat="1" ht="18.75" customHeight="1" x14ac:dyDescent="0.2">
      <c r="A738" s="139"/>
      <c r="B738" s="123"/>
      <c r="C738" s="248"/>
      <c r="D738" s="249"/>
      <c r="E738" s="128"/>
      <c r="F738" s="142"/>
      <c r="G738" s="128"/>
      <c r="H738" s="242" t="s">
        <v>118</v>
      </c>
      <c r="I738" s="156" t="s">
        <v>383</v>
      </c>
      <c r="J738" s="157" t="s">
        <v>250</v>
      </c>
      <c r="K738" s="157"/>
      <c r="L738" s="160" t="s">
        <v>383</v>
      </c>
      <c r="M738" s="157" t="s">
        <v>258</v>
      </c>
      <c r="N738" s="157"/>
      <c r="O738" s="160" t="s">
        <v>383</v>
      </c>
      <c r="P738" s="157" t="s">
        <v>259</v>
      </c>
      <c r="Q738" s="207"/>
      <c r="R738" s="160" t="s">
        <v>383</v>
      </c>
      <c r="S738" s="157" t="s">
        <v>283</v>
      </c>
      <c r="T738" s="157"/>
      <c r="U738" s="157"/>
      <c r="V738" s="157"/>
      <c r="W738" s="157"/>
      <c r="X738" s="165"/>
      <c r="Y738" s="154"/>
      <c r="Z738" s="147"/>
      <c r="AA738" s="147"/>
      <c r="AB738" s="148"/>
      <c r="AC738" s="732"/>
      <c r="AD738" s="732"/>
      <c r="AE738" s="732"/>
      <c r="AF738" s="732"/>
      <c r="AI738" s="109" t="str">
        <f>"52:serteikyo_kyoka_code:" &amp; IF(I738="■",1,IF(L738="■",6,IF(O738="■",5,IF(R738="■",7,0))))</f>
        <v>52:serteikyo_kyoka_code:0</v>
      </c>
    </row>
    <row r="739" spans="1:36" s="621" customFormat="1" ht="18.75" customHeight="1" x14ac:dyDescent="0.2">
      <c r="A739" s="139"/>
      <c r="B739" s="670"/>
      <c r="C739" s="248"/>
      <c r="D739" s="249"/>
      <c r="E739" s="128"/>
      <c r="F739" s="142"/>
      <c r="G739" s="143"/>
      <c r="H739" s="713" t="s">
        <v>790</v>
      </c>
      <c r="I739" s="642" t="s">
        <v>383</v>
      </c>
      <c r="J739" s="616" t="s">
        <v>627</v>
      </c>
      <c r="K739" s="616"/>
      <c r="L739" s="615"/>
      <c r="M739" s="644" t="s">
        <v>383</v>
      </c>
      <c r="N739" s="616" t="s">
        <v>791</v>
      </c>
      <c r="O739" s="617"/>
      <c r="P739" s="615"/>
      <c r="Q739" s="644" t="s">
        <v>383</v>
      </c>
      <c r="R739" s="618" t="s">
        <v>802</v>
      </c>
      <c r="S739" s="615"/>
      <c r="T739" s="615"/>
      <c r="U739" s="615"/>
      <c r="V739" s="618"/>
      <c r="W739" s="619"/>
      <c r="X739" s="620"/>
      <c r="Y739" s="154"/>
      <c r="Z739" s="147"/>
      <c r="AA739" s="147"/>
      <c r="AB739" s="148"/>
      <c r="AC739" s="733"/>
      <c r="AD739" s="733"/>
      <c r="AE739" s="733"/>
      <c r="AF739" s="733"/>
    </row>
    <row r="740" spans="1:36" s="621" customFormat="1" ht="18.75" customHeight="1" x14ac:dyDescent="0.2">
      <c r="A740" s="139"/>
      <c r="B740" s="670"/>
      <c r="C740" s="248"/>
      <c r="D740" s="249"/>
      <c r="E740" s="128"/>
      <c r="F740" s="142"/>
      <c r="G740" s="143"/>
      <c r="H740" s="714"/>
      <c r="I740" s="643" t="s">
        <v>383</v>
      </c>
      <c r="J740" s="623" t="s">
        <v>803</v>
      </c>
      <c r="K740" s="623"/>
      <c r="L740" s="622"/>
      <c r="M740" s="211" t="s">
        <v>383</v>
      </c>
      <c r="N740" s="623" t="s">
        <v>804</v>
      </c>
      <c r="O740" s="624"/>
      <c r="P740" s="622"/>
      <c r="Q740" s="211" t="s">
        <v>383</v>
      </c>
      <c r="R740" s="623" t="s">
        <v>795</v>
      </c>
      <c r="S740" s="622"/>
      <c r="T740" s="623"/>
      <c r="U740" s="211" t="s">
        <v>383</v>
      </c>
      <c r="V740" s="623" t="s">
        <v>796</v>
      </c>
      <c r="W740" s="625"/>
      <c r="X740" s="626"/>
      <c r="Y740" s="154"/>
      <c r="Z740" s="147"/>
      <c r="AA740" s="147"/>
      <c r="AB740" s="148"/>
      <c r="AC740" s="733"/>
      <c r="AD740" s="733"/>
      <c r="AE740" s="733"/>
      <c r="AF740" s="733"/>
    </row>
    <row r="741" spans="1:36" s="109" customFormat="1" ht="18.75" customHeight="1" x14ac:dyDescent="0.2">
      <c r="A741" s="129"/>
      <c r="B741" s="116"/>
      <c r="C741" s="272"/>
      <c r="D741" s="273"/>
      <c r="E741" s="121"/>
      <c r="F741" s="132"/>
      <c r="G741" s="121"/>
      <c r="H741" s="226" t="s">
        <v>97</v>
      </c>
      <c r="I741" s="196" t="s">
        <v>383</v>
      </c>
      <c r="J741" s="197" t="s">
        <v>300</v>
      </c>
      <c r="K741" s="198"/>
      <c r="L741" s="199"/>
      <c r="M741" s="200" t="s">
        <v>383</v>
      </c>
      <c r="N741" s="197" t="s">
        <v>301</v>
      </c>
      <c r="O741" s="201"/>
      <c r="P741" s="201"/>
      <c r="Q741" s="201"/>
      <c r="R741" s="201"/>
      <c r="S741" s="201"/>
      <c r="T741" s="201"/>
      <c r="U741" s="201"/>
      <c r="V741" s="201"/>
      <c r="W741" s="201"/>
      <c r="X741" s="202"/>
      <c r="Y741" s="138" t="s">
        <v>383</v>
      </c>
      <c r="Z741" s="119" t="s">
        <v>249</v>
      </c>
      <c r="AA741" s="119"/>
      <c r="AB741" s="137"/>
      <c r="AC741" s="730"/>
      <c r="AD741" s="730"/>
      <c r="AE741" s="730"/>
      <c r="AF741" s="730"/>
      <c r="AG741" s="109" t="str">
        <f>"ser_code = '" &amp; IF(A758="■",52,"") &amp; "'"</f>
        <v>ser_code = ''</v>
      </c>
      <c r="AI741" s="109" t="str">
        <f>"52:yakan_kinmu_code:" &amp; IF(I741="■",1,IF(M741="■",6,0))</f>
        <v>52:yakan_kinmu_code:0</v>
      </c>
      <c r="AJ741" s="109" t="str">
        <f>"52:field203:" &amp; IF(Y741="■",1,IF(Y742="■",2,0))</f>
        <v>52:field203:0</v>
      </c>
    </row>
    <row r="742" spans="1:36" s="109" customFormat="1" ht="18.75" customHeight="1" x14ac:dyDescent="0.2">
      <c r="A742" s="139"/>
      <c r="B742" s="123"/>
      <c r="C742" s="248"/>
      <c r="D742" s="249"/>
      <c r="E742" s="128"/>
      <c r="F742" s="142"/>
      <c r="G742" s="128"/>
      <c r="H742" s="741" t="s">
        <v>93</v>
      </c>
      <c r="I742" s="175" t="s">
        <v>383</v>
      </c>
      <c r="J742" s="168" t="s">
        <v>250</v>
      </c>
      <c r="K742" s="168"/>
      <c r="L742" s="172"/>
      <c r="M742" s="206" t="s">
        <v>383</v>
      </c>
      <c r="N742" s="168" t="s">
        <v>289</v>
      </c>
      <c r="O742" s="168"/>
      <c r="P742" s="172"/>
      <c r="Q742" s="206" t="s">
        <v>383</v>
      </c>
      <c r="R742" s="172" t="s">
        <v>290</v>
      </c>
      <c r="S742" s="172"/>
      <c r="T742" s="172"/>
      <c r="U742" s="206" t="s">
        <v>383</v>
      </c>
      <c r="V742" s="172" t="s">
        <v>291</v>
      </c>
      <c r="W742" s="172"/>
      <c r="X742" s="209"/>
      <c r="Y742" s="125" t="s">
        <v>383</v>
      </c>
      <c r="Z742" s="126" t="s">
        <v>255</v>
      </c>
      <c r="AA742" s="147"/>
      <c r="AB742" s="148"/>
      <c r="AC742" s="732"/>
      <c r="AD742" s="732"/>
      <c r="AE742" s="732"/>
      <c r="AF742" s="732"/>
      <c r="AG742" s="109" t="str">
        <f>"52:sisetukbn_code:" &amp; IF(D757="■",5,IF(D758="■",7,0))</f>
        <v>52:sisetukbn_code:0</v>
      </c>
      <c r="AI742" s="109" t="str">
        <f>"52:"&amp;IF(AND(I742="□",M742="□",Q742="□",U742="□",I743="□",M743="□",Q743="□",I744="□"),"ketu_doctor_code:0",IF(I742="■","ketu_doctor_code:1:ketu_kangos_code:1:ketu_kshoku_code:1:ketu_rryoho_code:1:ketu_sryoho_code:1:ketu_ksiensou_code:1:ketu_gengo_code:1",IF(M742="■","ketu_doctor_code:2","ketu_doctor_code:1")
&amp;IF(Q742="■",":ketu_kangos_code:2",":ketu_kangos_code:1")
&amp;IF(U742="■",":ketu_kshoku_code:2",":ketu_kshoku_code:1")
&amp;IF(I743="■",":ketu_rryoho_code:2",":ketu_rryoho_code:1")
&amp;IF(M743="■",":ketu_sryoho_code:2",":ketu_sryoho_code:1")
&amp;IF(Q743="■",":ketu_ksiensou_code:2",":ketu_ksiensou_code:1")
&amp;IF(I744="■",":ketu_gengo_code:2",":ketu_gengo_code:1")))</f>
        <v>52:ketu_doctor_code:0</v>
      </c>
    </row>
    <row r="743" spans="1:36" s="109" customFormat="1" ht="18.75" customHeight="1" x14ac:dyDescent="0.2">
      <c r="A743" s="139"/>
      <c r="B743" s="123"/>
      <c r="C743" s="248"/>
      <c r="D743" s="249"/>
      <c r="E743" s="128"/>
      <c r="F743" s="142"/>
      <c r="G743" s="128"/>
      <c r="H743" s="706"/>
      <c r="I743" s="125" t="s">
        <v>383</v>
      </c>
      <c r="J743" s="126" t="s">
        <v>292</v>
      </c>
      <c r="K743" s="126"/>
      <c r="L743" s="108"/>
      <c r="M743" s="118" t="s">
        <v>383</v>
      </c>
      <c r="N743" s="126" t="s">
        <v>293</v>
      </c>
      <c r="O743" s="126"/>
      <c r="P743" s="108"/>
      <c r="Q743" s="118" t="s">
        <v>383</v>
      </c>
      <c r="R743" s="108" t="s">
        <v>405</v>
      </c>
      <c r="S743" s="108"/>
      <c r="T743" s="108"/>
      <c r="U743" s="108"/>
      <c r="V743" s="108"/>
      <c r="W743" s="108"/>
      <c r="X743" s="178"/>
      <c r="Y743" s="154"/>
      <c r="Z743" s="147"/>
      <c r="AA743" s="147"/>
      <c r="AB743" s="148"/>
      <c r="AC743" s="732"/>
      <c r="AD743" s="732"/>
      <c r="AE743" s="732"/>
      <c r="AF743" s="732"/>
    </row>
    <row r="744" spans="1:36" s="109" customFormat="1" ht="18.75" customHeight="1" x14ac:dyDescent="0.2">
      <c r="A744" s="139"/>
      <c r="B744" s="123"/>
      <c r="C744" s="248"/>
      <c r="D744" s="249"/>
      <c r="E744" s="128"/>
      <c r="F744" s="142"/>
      <c r="G744" s="128"/>
      <c r="H744" s="742"/>
      <c r="I744" s="150" t="s">
        <v>383</v>
      </c>
      <c r="J744" s="169" t="s">
        <v>406</v>
      </c>
      <c r="K744" s="169"/>
      <c r="L744" s="151"/>
      <c r="M744" s="169"/>
      <c r="N744" s="169"/>
      <c r="O744" s="169"/>
      <c r="P744" s="151"/>
      <c r="Q744" s="169"/>
      <c r="R744" s="151"/>
      <c r="S744" s="151"/>
      <c r="T744" s="151"/>
      <c r="U744" s="151"/>
      <c r="V744" s="151"/>
      <c r="W744" s="151"/>
      <c r="X744" s="238"/>
      <c r="Y744" s="154"/>
      <c r="Z744" s="147"/>
      <c r="AA744" s="147"/>
      <c r="AB744" s="148"/>
      <c r="AC744" s="732"/>
      <c r="AD744" s="732"/>
      <c r="AE744" s="732"/>
      <c r="AF744" s="732"/>
    </row>
    <row r="745" spans="1:36" s="109" customFormat="1" ht="18.75" customHeight="1" x14ac:dyDescent="0.2">
      <c r="A745" s="139"/>
      <c r="B745" s="123"/>
      <c r="C745" s="248"/>
      <c r="D745" s="249"/>
      <c r="E745" s="128"/>
      <c r="F745" s="142"/>
      <c r="G745" s="128"/>
      <c r="H745" s="242" t="s">
        <v>98</v>
      </c>
      <c r="I745" s="156" t="s">
        <v>383</v>
      </c>
      <c r="J745" s="157" t="s">
        <v>265</v>
      </c>
      <c r="K745" s="158"/>
      <c r="L745" s="159"/>
      <c r="M745" s="160" t="s">
        <v>383</v>
      </c>
      <c r="N745" s="157" t="s">
        <v>266</v>
      </c>
      <c r="O745" s="158"/>
      <c r="P745" s="158"/>
      <c r="Q745" s="162"/>
      <c r="R745" s="162"/>
      <c r="S745" s="162"/>
      <c r="T745" s="162"/>
      <c r="U745" s="162"/>
      <c r="V745" s="162"/>
      <c r="W745" s="162"/>
      <c r="X745" s="163"/>
      <c r="Y745" s="154"/>
      <c r="Z745" s="147"/>
      <c r="AA745" s="147"/>
      <c r="AB745" s="148"/>
      <c r="AC745" s="732"/>
      <c r="AD745" s="732"/>
      <c r="AE745" s="732"/>
      <c r="AF745" s="732"/>
      <c r="AI745" s="109" t="str">
        <f>"52:unitcare_code:" &amp; IF(I745="■",1,IF(M745="■",2,0))</f>
        <v>52:unitcare_code:0</v>
      </c>
    </row>
    <row r="746" spans="1:36" s="109" customFormat="1" ht="18.75" customHeight="1" x14ac:dyDescent="0.2">
      <c r="A746" s="139"/>
      <c r="B746" s="123"/>
      <c r="C746" s="248"/>
      <c r="D746" s="249"/>
      <c r="E746" s="128"/>
      <c r="F746" s="142"/>
      <c r="G746" s="128"/>
      <c r="H746" s="242" t="s">
        <v>107</v>
      </c>
      <c r="I746" s="156" t="s">
        <v>383</v>
      </c>
      <c r="J746" s="157" t="s">
        <v>395</v>
      </c>
      <c r="K746" s="158"/>
      <c r="L746" s="159"/>
      <c r="M746" s="160" t="s">
        <v>383</v>
      </c>
      <c r="N746" s="157" t="s">
        <v>396</v>
      </c>
      <c r="O746" s="158"/>
      <c r="P746" s="158"/>
      <c r="Q746" s="162"/>
      <c r="R746" s="162"/>
      <c r="S746" s="162"/>
      <c r="T746" s="162"/>
      <c r="U746" s="162"/>
      <c r="V746" s="162"/>
      <c r="W746" s="162"/>
      <c r="X746" s="163"/>
      <c r="Y746" s="154"/>
      <c r="Z746" s="147"/>
      <c r="AA746" s="147"/>
      <c r="AB746" s="148"/>
      <c r="AC746" s="732"/>
      <c r="AD746" s="732"/>
      <c r="AE746" s="732"/>
      <c r="AF746" s="732"/>
      <c r="AI746" s="109" t="str">
        <f>"52:sintaikousoku_code:" &amp; IF(I746="■",1,IF(M746="■",2,0))</f>
        <v>52:sintaikousoku_code:0</v>
      </c>
    </row>
    <row r="747" spans="1:36" s="109" customFormat="1" ht="18.75" customHeight="1" x14ac:dyDescent="0.2">
      <c r="A747" s="139"/>
      <c r="B747" s="123"/>
      <c r="C747" s="248"/>
      <c r="D747" s="249"/>
      <c r="E747" s="128"/>
      <c r="F747" s="142"/>
      <c r="G747" s="128"/>
      <c r="H747" s="242" t="s">
        <v>200</v>
      </c>
      <c r="I747" s="156" t="s">
        <v>383</v>
      </c>
      <c r="J747" s="157" t="s">
        <v>395</v>
      </c>
      <c r="K747" s="158"/>
      <c r="L747" s="159"/>
      <c r="M747" s="160" t="s">
        <v>383</v>
      </c>
      <c r="N747" s="157" t="s">
        <v>396</v>
      </c>
      <c r="O747" s="158"/>
      <c r="P747" s="158"/>
      <c r="Q747" s="162"/>
      <c r="R747" s="162"/>
      <c r="S747" s="162"/>
      <c r="T747" s="162"/>
      <c r="U747" s="162"/>
      <c r="V747" s="162"/>
      <c r="W747" s="162"/>
      <c r="X747" s="163"/>
      <c r="Y747" s="154"/>
      <c r="Z747" s="147"/>
      <c r="AA747" s="147"/>
      <c r="AB747" s="148"/>
      <c r="AC747" s="732"/>
      <c r="AD747" s="732"/>
      <c r="AE747" s="732"/>
      <c r="AF747" s="732"/>
      <c r="AI747" s="109" t="str">
        <f>"52:field208:" &amp; IF(I747="■",1,IF(M747="■",2,0))</f>
        <v>52:field208:0</v>
      </c>
    </row>
    <row r="748" spans="1:36" s="109" customFormat="1" ht="19.5" customHeight="1" x14ac:dyDescent="0.2">
      <c r="A748" s="139"/>
      <c r="B748" s="123"/>
      <c r="C748" s="140"/>
      <c r="D748" s="141"/>
      <c r="E748" s="128"/>
      <c r="F748" s="142"/>
      <c r="G748" s="143"/>
      <c r="H748" s="155" t="s">
        <v>430</v>
      </c>
      <c r="I748" s="156" t="s">
        <v>383</v>
      </c>
      <c r="J748" s="157" t="s">
        <v>395</v>
      </c>
      <c r="K748" s="158"/>
      <c r="L748" s="159"/>
      <c r="M748" s="160" t="s">
        <v>383</v>
      </c>
      <c r="N748" s="157" t="s">
        <v>431</v>
      </c>
      <c r="O748" s="161"/>
      <c r="P748" s="157"/>
      <c r="Q748" s="162"/>
      <c r="R748" s="162"/>
      <c r="S748" s="162"/>
      <c r="T748" s="162"/>
      <c r="U748" s="162"/>
      <c r="V748" s="162"/>
      <c r="W748" s="162"/>
      <c r="X748" s="163"/>
      <c r="Y748" s="147"/>
      <c r="Z748" s="147"/>
      <c r="AA748" s="147"/>
      <c r="AB748" s="148"/>
      <c r="AC748" s="732"/>
      <c r="AD748" s="732"/>
      <c r="AE748" s="732"/>
      <c r="AF748" s="732"/>
      <c r="AI748" s="109" t="str">
        <f>"52:field223:" &amp; IF(I748="■",1,IF(M748="■",2,0))</f>
        <v>52:field223:0</v>
      </c>
    </row>
    <row r="749" spans="1:36" s="109" customFormat="1" ht="19.5" customHeight="1" x14ac:dyDescent="0.2">
      <c r="A749" s="139"/>
      <c r="B749" s="123"/>
      <c r="C749" s="140"/>
      <c r="D749" s="141"/>
      <c r="E749" s="128"/>
      <c r="F749" s="142"/>
      <c r="G749" s="143"/>
      <c r="H749" s="155" t="s">
        <v>448</v>
      </c>
      <c r="I749" s="156" t="s">
        <v>383</v>
      </c>
      <c r="J749" s="157" t="s">
        <v>395</v>
      </c>
      <c r="K749" s="158"/>
      <c r="L749" s="159"/>
      <c r="M749" s="160" t="s">
        <v>383</v>
      </c>
      <c r="N749" s="157" t="s">
        <v>431</v>
      </c>
      <c r="O749" s="161"/>
      <c r="P749" s="157"/>
      <c r="Q749" s="162"/>
      <c r="R749" s="162"/>
      <c r="S749" s="162"/>
      <c r="T749" s="162"/>
      <c r="U749" s="162"/>
      <c r="V749" s="162"/>
      <c r="W749" s="162"/>
      <c r="X749" s="163"/>
      <c r="Y749" s="147"/>
      <c r="Z749" s="147"/>
      <c r="AA749" s="147"/>
      <c r="AB749" s="148"/>
      <c r="AC749" s="732"/>
      <c r="AD749" s="732"/>
      <c r="AE749" s="732"/>
      <c r="AF749" s="732"/>
      <c r="AI749" s="109" t="str">
        <f>"52:field232:" &amp; IF(I749="■",1,IF(M749="■",2,0))</f>
        <v>52:field232:0</v>
      </c>
    </row>
    <row r="750" spans="1:36" s="109" customFormat="1" ht="37.5" customHeight="1" x14ac:dyDescent="0.2">
      <c r="A750" s="139"/>
      <c r="B750" s="123"/>
      <c r="C750" s="248"/>
      <c r="D750" s="249"/>
      <c r="E750" s="128"/>
      <c r="F750" s="142"/>
      <c r="G750" s="128"/>
      <c r="H750" s="164" t="s">
        <v>202</v>
      </c>
      <c r="I750" s="150" t="s">
        <v>383</v>
      </c>
      <c r="J750" s="169" t="s">
        <v>250</v>
      </c>
      <c r="K750" s="179"/>
      <c r="L750" s="203" t="s">
        <v>383</v>
      </c>
      <c r="M750" s="169" t="s">
        <v>267</v>
      </c>
      <c r="N750" s="158"/>
      <c r="O750" s="207"/>
      <c r="P750" s="207"/>
      <c r="Q750" s="207"/>
      <c r="R750" s="207"/>
      <c r="S750" s="207"/>
      <c r="T750" s="207"/>
      <c r="U750" s="207"/>
      <c r="V750" s="207"/>
      <c r="W750" s="207"/>
      <c r="X750" s="208"/>
      <c r="Y750" s="154"/>
      <c r="Z750" s="147"/>
      <c r="AA750" s="147"/>
      <c r="AB750" s="148"/>
      <c r="AC750" s="732"/>
      <c r="AD750" s="732"/>
      <c r="AE750" s="732"/>
      <c r="AF750" s="732"/>
      <c r="AI750" s="109" t="str">
        <f>"52:field206:" &amp; IF(I750="■",1,IF(L750="■",2,0))</f>
        <v>52:field206:0</v>
      </c>
    </row>
    <row r="751" spans="1:36" s="1" customFormat="1" ht="19.5" customHeight="1" x14ac:dyDescent="0.2">
      <c r="A751" s="88"/>
      <c r="B751" s="91"/>
      <c r="C751" s="87"/>
      <c r="D751" s="89"/>
      <c r="E751" s="90"/>
      <c r="F751" s="101"/>
      <c r="G751" s="100"/>
      <c r="H751" s="348" t="s">
        <v>638</v>
      </c>
      <c r="I751" s="406" t="s">
        <v>383</v>
      </c>
      <c r="J751" s="381" t="s">
        <v>624</v>
      </c>
      <c r="K751" s="472"/>
      <c r="L751" s="382"/>
      <c r="M751" s="408" t="s">
        <v>383</v>
      </c>
      <c r="N751" s="381" t="s">
        <v>625</v>
      </c>
      <c r="O751" s="473"/>
      <c r="P751" s="381"/>
      <c r="Q751" s="474"/>
      <c r="R751" s="474"/>
      <c r="S751" s="474"/>
      <c r="T751" s="474"/>
      <c r="U751" s="474"/>
      <c r="V751" s="474"/>
      <c r="W751" s="474"/>
      <c r="X751" s="475"/>
      <c r="Y751" s="85"/>
      <c r="Z751" s="2"/>
      <c r="AA751" s="92"/>
      <c r="AB751" s="102"/>
      <c r="AC751" s="732"/>
      <c r="AD751" s="732"/>
      <c r="AE751" s="732"/>
      <c r="AF751" s="732"/>
      <c r="AI751" s="109" t="str">
        <f>"52:field242:" &amp; IF(I751="■",1,IF(M751="■",2,0))</f>
        <v>52:field242:0</v>
      </c>
    </row>
    <row r="752" spans="1:36" s="109" customFormat="1" ht="18.75" customHeight="1" x14ac:dyDescent="0.2">
      <c r="A752" s="139"/>
      <c r="B752" s="123"/>
      <c r="C752" s="248"/>
      <c r="D752" s="249"/>
      <c r="E752" s="128"/>
      <c r="F752" s="142"/>
      <c r="G752" s="128"/>
      <c r="H752" s="242" t="s">
        <v>111</v>
      </c>
      <c r="I752" s="150" t="s">
        <v>383</v>
      </c>
      <c r="J752" s="169" t="s">
        <v>250</v>
      </c>
      <c r="K752" s="179"/>
      <c r="L752" s="203" t="s">
        <v>383</v>
      </c>
      <c r="M752" s="169" t="s">
        <v>267</v>
      </c>
      <c r="N752" s="158"/>
      <c r="O752" s="162"/>
      <c r="P752" s="162"/>
      <c r="Q752" s="162"/>
      <c r="R752" s="162"/>
      <c r="S752" s="162"/>
      <c r="T752" s="162"/>
      <c r="U752" s="162"/>
      <c r="V752" s="162"/>
      <c r="W752" s="162"/>
      <c r="X752" s="163"/>
      <c r="Y752" s="154"/>
      <c r="Z752" s="147"/>
      <c r="AA752" s="147"/>
      <c r="AB752" s="148"/>
      <c r="AC752" s="732"/>
      <c r="AD752" s="732"/>
      <c r="AE752" s="732"/>
      <c r="AF752" s="732"/>
      <c r="AI752" s="109" t="str">
        <f>"52:yakinhaiti_code:" &amp; IF(I752="■",1,IF(L752="■",2,0))</f>
        <v>52:yakinhaiti_code:0</v>
      </c>
    </row>
    <row r="753" spans="1:35" s="109" customFormat="1" ht="18.75" customHeight="1" x14ac:dyDescent="0.2">
      <c r="A753" s="139"/>
      <c r="B753" s="123"/>
      <c r="C753" s="248"/>
      <c r="D753" s="249"/>
      <c r="E753" s="128"/>
      <c r="F753" s="142"/>
      <c r="G753" s="128"/>
      <c r="H753" s="242" t="s">
        <v>138</v>
      </c>
      <c r="I753" s="150" t="s">
        <v>383</v>
      </c>
      <c r="J753" s="169" t="s">
        <v>250</v>
      </c>
      <c r="K753" s="179"/>
      <c r="L753" s="203" t="s">
        <v>383</v>
      </c>
      <c r="M753" s="169" t="s">
        <v>267</v>
      </c>
      <c r="N753" s="158"/>
      <c r="O753" s="157"/>
      <c r="P753" s="157"/>
      <c r="Q753" s="157"/>
      <c r="R753" s="157"/>
      <c r="S753" s="157"/>
      <c r="T753" s="157"/>
      <c r="U753" s="157"/>
      <c r="V753" s="157"/>
      <c r="W753" s="157"/>
      <c r="X753" s="165"/>
      <c r="Y753" s="154"/>
      <c r="Z753" s="147"/>
      <c r="AA753" s="147"/>
      <c r="AB753" s="148"/>
      <c r="AC753" s="732"/>
      <c r="AD753" s="732"/>
      <c r="AE753" s="732"/>
      <c r="AF753" s="732"/>
      <c r="AI753" s="109" t="str">
        <f>"52:ninti_riha_code:" &amp; IF(I753="■",1,IF(L753="■",2,0))</f>
        <v>52:ninti_riha_code:0</v>
      </c>
    </row>
    <row r="754" spans="1:35" s="109" customFormat="1" ht="18.75" customHeight="1" x14ac:dyDescent="0.2">
      <c r="A754" s="139"/>
      <c r="B754" s="123"/>
      <c r="C754" s="248"/>
      <c r="D754" s="249"/>
      <c r="E754" s="128"/>
      <c r="F754" s="142"/>
      <c r="G754" s="128"/>
      <c r="H754" s="242" t="s">
        <v>100</v>
      </c>
      <c r="I754" s="150" t="s">
        <v>383</v>
      </c>
      <c r="J754" s="169" t="s">
        <v>250</v>
      </c>
      <c r="K754" s="179"/>
      <c r="L754" s="203" t="s">
        <v>383</v>
      </c>
      <c r="M754" s="169" t="s">
        <v>267</v>
      </c>
      <c r="N754" s="158"/>
      <c r="O754" s="162"/>
      <c r="P754" s="162"/>
      <c r="Q754" s="162"/>
      <c r="R754" s="162"/>
      <c r="S754" s="162"/>
      <c r="T754" s="162"/>
      <c r="U754" s="162"/>
      <c r="V754" s="162"/>
      <c r="W754" s="162"/>
      <c r="X754" s="163"/>
      <c r="Y754" s="154"/>
      <c r="Z754" s="147"/>
      <c r="AA754" s="147"/>
      <c r="AB754" s="148"/>
      <c r="AC754" s="732"/>
      <c r="AD754" s="732"/>
      <c r="AE754" s="732"/>
      <c r="AF754" s="732"/>
      <c r="AI754" s="109" t="str">
        <f>"52:ninticare_code:" &amp; IF(I754="■",1,IF(L754="■",2,0))</f>
        <v>52:ninticare_code:0</v>
      </c>
    </row>
    <row r="755" spans="1:35" s="109" customFormat="1" ht="18.75" customHeight="1" x14ac:dyDescent="0.2">
      <c r="A755" s="139"/>
      <c r="B755" s="123"/>
      <c r="C755" s="248"/>
      <c r="D755" s="249"/>
      <c r="E755" s="128"/>
      <c r="F755" s="142"/>
      <c r="G755" s="128"/>
      <c r="H755" s="245" t="s">
        <v>140</v>
      </c>
      <c r="I755" s="150" t="s">
        <v>383</v>
      </c>
      <c r="J755" s="169" t="s">
        <v>250</v>
      </c>
      <c r="K755" s="179"/>
      <c r="L755" s="203" t="s">
        <v>383</v>
      </c>
      <c r="M755" s="169" t="s">
        <v>267</v>
      </c>
      <c r="N755" s="158"/>
      <c r="O755" s="162"/>
      <c r="P755" s="162"/>
      <c r="Q755" s="162"/>
      <c r="R755" s="162"/>
      <c r="S755" s="162"/>
      <c r="T755" s="162"/>
      <c r="U755" s="162"/>
      <c r="V755" s="162"/>
      <c r="W755" s="162"/>
      <c r="X755" s="163"/>
      <c r="Y755" s="154"/>
      <c r="Z755" s="147"/>
      <c r="AA755" s="147"/>
      <c r="AB755" s="148"/>
      <c r="AC755" s="732"/>
      <c r="AD755" s="732"/>
      <c r="AE755" s="732"/>
      <c r="AF755" s="732"/>
      <c r="AI755" s="109" t="str">
        <f>"52:jyakuninti_uke_code:" &amp; IF(I755="■",1,IF(L755="■",2,0))</f>
        <v>52:jyakuninti_uke_code:0</v>
      </c>
    </row>
    <row r="756" spans="1:35" s="109" customFormat="1" ht="18.75" customHeight="1" x14ac:dyDescent="0.2">
      <c r="A756" s="139"/>
      <c r="B756" s="123"/>
      <c r="C756" s="248"/>
      <c r="D756" s="249"/>
      <c r="E756" s="128"/>
      <c r="F756" s="142"/>
      <c r="G756" s="128"/>
      <c r="H756" s="242" t="s">
        <v>91</v>
      </c>
      <c r="I756" s="150" t="s">
        <v>383</v>
      </c>
      <c r="J756" s="169" t="s">
        <v>250</v>
      </c>
      <c r="K756" s="179"/>
      <c r="L756" s="203" t="s">
        <v>383</v>
      </c>
      <c r="M756" s="169" t="s">
        <v>267</v>
      </c>
      <c r="N756" s="158"/>
      <c r="O756" s="162"/>
      <c r="P756" s="162"/>
      <c r="Q756" s="162"/>
      <c r="R756" s="162"/>
      <c r="S756" s="162"/>
      <c r="T756" s="162"/>
      <c r="U756" s="162"/>
      <c r="V756" s="162"/>
      <c r="W756" s="162"/>
      <c r="X756" s="163"/>
      <c r="Y756" s="154"/>
      <c r="Z756" s="147"/>
      <c r="AA756" s="147"/>
      <c r="AB756" s="148"/>
      <c r="AC756" s="732"/>
      <c r="AD756" s="732"/>
      <c r="AE756" s="732"/>
      <c r="AF756" s="732"/>
      <c r="AI756" s="109" t="str">
        <f>"52:terminal_code:" &amp; IF(I756="■",1,IF(L756="■",2,0))</f>
        <v>52:terminal_code:0</v>
      </c>
    </row>
    <row r="757" spans="1:35" s="109" customFormat="1" ht="18.75" customHeight="1" x14ac:dyDescent="0.2">
      <c r="A757" s="139"/>
      <c r="B757" s="123"/>
      <c r="C757" s="248"/>
      <c r="D757" s="125" t="s">
        <v>383</v>
      </c>
      <c r="E757" s="128" t="s">
        <v>413</v>
      </c>
      <c r="F757" s="142"/>
      <c r="G757" s="128"/>
      <c r="H757" s="242" t="s">
        <v>121</v>
      </c>
      <c r="I757" s="156" t="s">
        <v>383</v>
      </c>
      <c r="J757" s="157" t="s">
        <v>320</v>
      </c>
      <c r="K757" s="157"/>
      <c r="L757" s="162"/>
      <c r="M757" s="162"/>
      <c r="N757" s="162"/>
      <c r="O757" s="162"/>
      <c r="P757" s="160" t="s">
        <v>383</v>
      </c>
      <c r="Q757" s="157" t="s">
        <v>321</v>
      </c>
      <c r="R757" s="162"/>
      <c r="S757" s="162"/>
      <c r="T757" s="162"/>
      <c r="U757" s="162"/>
      <c r="V757" s="162"/>
      <c r="W757" s="162"/>
      <c r="X757" s="163"/>
      <c r="Y757" s="154"/>
      <c r="Z757" s="147"/>
      <c r="AA757" s="147"/>
      <c r="AB757" s="148"/>
      <c r="AC757" s="732"/>
      <c r="AD757" s="732"/>
      <c r="AE757" s="732"/>
      <c r="AF757" s="732"/>
      <c r="AI757" s="109" t="str">
        <f>"52:" &amp; IF(AND(I757="□",P757="□"),"tokusin_jyusho_code:0:tokusin_yakuzai_code:0",IF(I757="■","tokusin_jyusho_code:2","tokusin_jyusho_code:1")
&amp;IF(P757="■",":tokusin_yakuzai_code:2",":tokusin_yakuzai_code:1"))</f>
        <v>52:tokusin_jyusho_code:0:tokusin_yakuzai_code:0</v>
      </c>
    </row>
    <row r="758" spans="1:35" s="109" customFormat="1" ht="18.75" customHeight="1" x14ac:dyDescent="0.2">
      <c r="A758" s="125" t="s">
        <v>383</v>
      </c>
      <c r="B758" s="123">
        <v>52</v>
      </c>
      <c r="C758" s="248" t="s">
        <v>417</v>
      </c>
      <c r="D758" s="125" t="s">
        <v>383</v>
      </c>
      <c r="E758" s="128" t="s">
        <v>415</v>
      </c>
      <c r="F758" s="142"/>
      <c r="G758" s="128"/>
      <c r="H758" s="242" t="s">
        <v>174</v>
      </c>
      <c r="I758" s="150" t="s">
        <v>383</v>
      </c>
      <c r="J758" s="169" t="s">
        <v>250</v>
      </c>
      <c r="K758" s="179"/>
      <c r="L758" s="203" t="s">
        <v>383</v>
      </c>
      <c r="M758" s="169" t="s">
        <v>267</v>
      </c>
      <c r="N758" s="158"/>
      <c r="O758" s="207"/>
      <c r="P758" s="207"/>
      <c r="Q758" s="207"/>
      <c r="R758" s="207"/>
      <c r="S758" s="207"/>
      <c r="T758" s="207"/>
      <c r="U758" s="207"/>
      <c r="V758" s="207"/>
      <c r="W758" s="207"/>
      <c r="X758" s="208"/>
      <c r="Y758" s="154"/>
      <c r="Z758" s="147"/>
      <c r="AA758" s="147"/>
      <c r="AB758" s="148"/>
      <c r="AC758" s="732"/>
      <c r="AD758" s="732"/>
      <c r="AE758" s="732"/>
      <c r="AF758" s="732"/>
      <c r="AI758" s="109" t="str">
        <f>"52:field198:" &amp; IF(I758="■",1,IF(L758="■",2,0))</f>
        <v>52:field198:0</v>
      </c>
    </row>
    <row r="759" spans="1:35" s="109" customFormat="1" ht="18.75" customHeight="1" x14ac:dyDescent="0.2">
      <c r="A759" s="139"/>
      <c r="B759" s="123"/>
      <c r="C759" s="248"/>
      <c r="D759" s="139"/>
      <c r="E759" s="128"/>
      <c r="F759" s="142"/>
      <c r="G759" s="128"/>
      <c r="H759" s="242" t="s">
        <v>178</v>
      </c>
      <c r="I759" s="150" t="s">
        <v>383</v>
      </c>
      <c r="J759" s="169" t="s">
        <v>250</v>
      </c>
      <c r="K759" s="179"/>
      <c r="L759" s="203" t="s">
        <v>383</v>
      </c>
      <c r="M759" s="169" t="s">
        <v>267</v>
      </c>
      <c r="N759" s="158"/>
      <c r="O759" s="207"/>
      <c r="P759" s="207"/>
      <c r="Q759" s="207"/>
      <c r="R759" s="207"/>
      <c r="S759" s="207"/>
      <c r="T759" s="207"/>
      <c r="U759" s="207"/>
      <c r="V759" s="207"/>
      <c r="W759" s="207"/>
      <c r="X759" s="208"/>
      <c r="Y759" s="154"/>
      <c r="Z759" s="147"/>
      <c r="AA759" s="147"/>
      <c r="AB759" s="148"/>
      <c r="AC759" s="732"/>
      <c r="AD759" s="732"/>
      <c r="AE759" s="732"/>
      <c r="AF759" s="732"/>
      <c r="AI759" s="109" t="str">
        <f>"52:field199:" &amp; IF(I759="■",1,IF(L759="■",2,0))</f>
        <v>52:field199:0</v>
      </c>
    </row>
    <row r="760" spans="1:35" s="109" customFormat="1" ht="18.75" customHeight="1" x14ac:dyDescent="0.2">
      <c r="A760" s="139"/>
      <c r="B760" s="123"/>
      <c r="C760" s="248"/>
      <c r="D760" s="249"/>
      <c r="E760" s="128"/>
      <c r="F760" s="142"/>
      <c r="G760" s="128"/>
      <c r="H760" s="242" t="s">
        <v>199</v>
      </c>
      <c r="I760" s="150" t="s">
        <v>383</v>
      </c>
      <c r="J760" s="169" t="s">
        <v>250</v>
      </c>
      <c r="K760" s="179"/>
      <c r="L760" s="203" t="s">
        <v>383</v>
      </c>
      <c r="M760" s="169" t="s">
        <v>267</v>
      </c>
      <c r="N760" s="158"/>
      <c r="O760" s="162"/>
      <c r="P760" s="162"/>
      <c r="Q760" s="162"/>
      <c r="R760" s="162"/>
      <c r="S760" s="162"/>
      <c r="T760" s="162"/>
      <c r="U760" s="162"/>
      <c r="V760" s="162"/>
      <c r="W760" s="162"/>
      <c r="X760" s="163"/>
      <c r="Y760" s="154"/>
      <c r="Z760" s="147"/>
      <c r="AA760" s="147"/>
      <c r="AB760" s="148"/>
      <c r="AC760" s="732"/>
      <c r="AD760" s="732"/>
      <c r="AE760" s="732"/>
      <c r="AF760" s="732"/>
      <c r="AI760" s="109" t="str">
        <f>"52:field207:" &amp; IF(I760="■",1,IF(L760="■",2,0))</f>
        <v>52:field207:0</v>
      </c>
    </row>
    <row r="761" spans="1:35" s="109" customFormat="1" ht="18.75" customHeight="1" x14ac:dyDescent="0.2">
      <c r="A761" s="139"/>
      <c r="B761" s="123"/>
      <c r="C761" s="248"/>
      <c r="D761" s="139"/>
      <c r="E761" s="128"/>
      <c r="F761" s="142"/>
      <c r="G761" s="128"/>
      <c r="H761" s="242" t="s">
        <v>112</v>
      </c>
      <c r="I761" s="150" t="s">
        <v>383</v>
      </c>
      <c r="J761" s="169" t="s">
        <v>250</v>
      </c>
      <c r="K761" s="179"/>
      <c r="L761" s="203" t="s">
        <v>383</v>
      </c>
      <c r="M761" s="169" t="s">
        <v>267</v>
      </c>
      <c r="N761" s="158"/>
      <c r="O761" s="162"/>
      <c r="P761" s="162"/>
      <c r="Q761" s="162"/>
      <c r="R761" s="162"/>
      <c r="S761" s="162"/>
      <c r="T761" s="162"/>
      <c r="U761" s="162"/>
      <c r="V761" s="162"/>
      <c r="W761" s="162"/>
      <c r="X761" s="163"/>
      <c r="Y761" s="154"/>
      <c r="Z761" s="147"/>
      <c r="AA761" s="147"/>
      <c r="AB761" s="148"/>
      <c r="AC761" s="732"/>
      <c r="AD761" s="732"/>
      <c r="AE761" s="732"/>
      <c r="AF761" s="732"/>
      <c r="AI761" s="109" t="str">
        <f>"52:ryouyoushoku_code:" &amp; IF(I761="■",1,IF(L761="■",2,0))</f>
        <v>52:ryouyoushoku_code:0</v>
      </c>
    </row>
    <row r="762" spans="1:35" s="109" customFormat="1" ht="18.75" customHeight="1" x14ac:dyDescent="0.2">
      <c r="A762" s="139"/>
      <c r="B762" s="123"/>
      <c r="C762" s="248"/>
      <c r="D762" s="249"/>
      <c r="E762" s="128"/>
      <c r="F762" s="142"/>
      <c r="G762" s="128"/>
      <c r="H762" s="242" t="s">
        <v>116</v>
      </c>
      <c r="I762" s="156" t="s">
        <v>383</v>
      </c>
      <c r="J762" s="157" t="s">
        <v>250</v>
      </c>
      <c r="K762" s="157"/>
      <c r="L762" s="160" t="s">
        <v>383</v>
      </c>
      <c r="M762" s="157" t="s">
        <v>251</v>
      </c>
      <c r="N762" s="157"/>
      <c r="O762" s="160" t="s">
        <v>383</v>
      </c>
      <c r="P762" s="157" t="s">
        <v>252</v>
      </c>
      <c r="Q762" s="162"/>
      <c r="R762" s="162"/>
      <c r="S762" s="162"/>
      <c r="T762" s="162"/>
      <c r="U762" s="162"/>
      <c r="V762" s="162"/>
      <c r="W762" s="162"/>
      <c r="X762" s="163"/>
      <c r="Y762" s="154"/>
      <c r="Z762" s="147"/>
      <c r="AA762" s="147"/>
      <c r="AB762" s="148"/>
      <c r="AC762" s="732"/>
      <c r="AD762" s="732"/>
      <c r="AE762" s="732"/>
      <c r="AF762" s="732"/>
      <c r="AI762" s="109" t="str">
        <f>"52:ninti_senmoncare_code:" &amp; IF(I762="■",1,IF(O762="■",3,IF(L762="■",2,0)))</f>
        <v>52:ninti_senmoncare_code:0</v>
      </c>
    </row>
    <row r="763" spans="1:35" s="109" customFormat="1" ht="18.75" customHeight="1" x14ac:dyDescent="0.2">
      <c r="A763" s="139"/>
      <c r="B763" s="123"/>
      <c r="C763" s="248"/>
      <c r="D763" s="249"/>
      <c r="E763" s="128"/>
      <c r="F763" s="142"/>
      <c r="G763" s="128"/>
      <c r="H763" s="242" t="s">
        <v>447</v>
      </c>
      <c r="I763" s="156" t="s">
        <v>383</v>
      </c>
      <c r="J763" s="157" t="s">
        <v>250</v>
      </c>
      <c r="K763" s="157"/>
      <c r="L763" s="160" t="s">
        <v>383</v>
      </c>
      <c r="M763" s="157" t="s">
        <v>251</v>
      </c>
      <c r="N763" s="157"/>
      <c r="O763" s="160" t="s">
        <v>383</v>
      </c>
      <c r="P763" s="157" t="s">
        <v>252</v>
      </c>
      <c r="Q763" s="158"/>
      <c r="R763" s="158"/>
      <c r="S763" s="158"/>
      <c r="T763" s="158"/>
      <c r="U763" s="158"/>
      <c r="V763" s="158"/>
      <c r="W763" s="158"/>
      <c r="X763" s="166"/>
      <c r="Y763" s="154"/>
      <c r="Z763" s="147"/>
      <c r="AA763" s="147"/>
      <c r="AB763" s="148"/>
      <c r="AC763" s="732"/>
      <c r="AD763" s="732"/>
      <c r="AE763" s="732"/>
      <c r="AF763" s="732"/>
      <c r="AI763" s="109" t="str">
        <f>"52:field228:" &amp; IF(I763="■",1,IF(L763="■",2,IF(O763="■",3,0)))</f>
        <v>52:field228:0</v>
      </c>
    </row>
    <row r="764" spans="1:35" s="109" customFormat="1" ht="18.75" customHeight="1" x14ac:dyDescent="0.2">
      <c r="A764" s="139"/>
      <c r="B764" s="123"/>
      <c r="C764" s="248"/>
      <c r="D764" s="249"/>
      <c r="E764" s="128"/>
      <c r="F764" s="142"/>
      <c r="G764" s="128"/>
      <c r="H764" s="741" t="s">
        <v>103</v>
      </c>
      <c r="I764" s="175" t="s">
        <v>383</v>
      </c>
      <c r="J764" s="168" t="s">
        <v>409</v>
      </c>
      <c r="K764" s="181"/>
      <c r="L764" s="168"/>
      <c r="M764" s="168"/>
      <c r="N764" s="168"/>
      <c r="O764" s="251"/>
      <c r="P764" s="251"/>
      <c r="Q764" s="206" t="s">
        <v>383</v>
      </c>
      <c r="R764" s="168" t="s">
        <v>410</v>
      </c>
      <c r="S764" s="172"/>
      <c r="T764" s="172"/>
      <c r="U764" s="172"/>
      <c r="V764" s="172"/>
      <c r="W764" s="172"/>
      <c r="X764" s="209"/>
      <c r="Y764" s="154"/>
      <c r="Z764" s="147"/>
      <c r="AA764" s="147"/>
      <c r="AB764" s="148"/>
      <c r="AC764" s="732"/>
      <c r="AD764" s="732"/>
      <c r="AE764" s="732"/>
      <c r="AF764" s="732"/>
      <c r="AI764" s="109" t="str">
        <f>"52:"&amp;IF(AND(I764="□",Q764="□",I765="□",Q765="□"),"koriha_rihasido_code:0:koriha_gengo_code:0:riha_seisin_code:0:koriha_other_code:0",IF(I764="■","koriha_rihasido_code:2","koriha_rihasido_code:1")
&amp;IF(Q764="■",":koriha_gengo_code:2",":koriha_gengo_code:1")
&amp;IF(I765="■",":riha_seisin_code:2",":riha_seisin_code:1")
&amp;IF(Q765="■",":koriha_other_code:2",":koriha_other_code:1"))</f>
        <v>52:koriha_rihasido_code:0:koriha_gengo_code:0:riha_seisin_code:0:koriha_other_code:0</v>
      </c>
    </row>
    <row r="765" spans="1:35" s="109" customFormat="1" ht="18.75" customHeight="1" x14ac:dyDescent="0.2">
      <c r="A765" s="139"/>
      <c r="B765" s="123"/>
      <c r="C765" s="248"/>
      <c r="D765" s="249"/>
      <c r="E765" s="128"/>
      <c r="F765" s="142"/>
      <c r="G765" s="128"/>
      <c r="H765" s="742"/>
      <c r="I765" s="150" t="s">
        <v>383</v>
      </c>
      <c r="J765" s="169" t="s">
        <v>411</v>
      </c>
      <c r="K765" s="152"/>
      <c r="L765" s="168"/>
      <c r="M765" s="152"/>
      <c r="N765" s="152"/>
      <c r="O765" s="152"/>
      <c r="P765" s="152"/>
      <c r="Q765" s="203" t="s">
        <v>383</v>
      </c>
      <c r="R765" s="169" t="s">
        <v>412</v>
      </c>
      <c r="S765" s="151"/>
      <c r="T765" s="151"/>
      <c r="U765" s="151"/>
      <c r="V765" s="151"/>
      <c r="W765" s="151"/>
      <c r="X765" s="238"/>
      <c r="Y765" s="154"/>
      <c r="Z765" s="147"/>
      <c r="AA765" s="147"/>
      <c r="AB765" s="148"/>
      <c r="AC765" s="732"/>
      <c r="AD765" s="732"/>
      <c r="AE765" s="732"/>
      <c r="AF765" s="732"/>
    </row>
    <row r="766" spans="1:35" s="109" customFormat="1" ht="18.75" customHeight="1" x14ac:dyDescent="0.2">
      <c r="A766" s="139"/>
      <c r="B766" s="123"/>
      <c r="C766" s="248"/>
      <c r="D766" s="249"/>
      <c r="E766" s="128"/>
      <c r="F766" s="142"/>
      <c r="G766" s="128"/>
      <c r="H766" s="239" t="s">
        <v>226</v>
      </c>
      <c r="I766" s="150" t="s">
        <v>383</v>
      </c>
      <c r="J766" s="169" t="s">
        <v>250</v>
      </c>
      <c r="K766" s="179"/>
      <c r="L766" s="160" t="s">
        <v>383</v>
      </c>
      <c r="M766" s="157" t="s">
        <v>268</v>
      </c>
      <c r="N766" s="157"/>
      <c r="O766" s="160" t="s">
        <v>383</v>
      </c>
      <c r="P766" s="157" t="s">
        <v>269</v>
      </c>
      <c r="Q766" s="158"/>
      <c r="R766" s="158"/>
      <c r="S766" s="158"/>
      <c r="T766" s="158"/>
      <c r="U766" s="158"/>
      <c r="V766" s="158"/>
      <c r="W766" s="158"/>
      <c r="X766" s="166"/>
      <c r="Y766" s="154"/>
      <c r="Z766" s="147"/>
      <c r="AA766" s="147"/>
      <c r="AB766" s="148"/>
      <c r="AC766" s="732"/>
      <c r="AD766" s="732"/>
      <c r="AE766" s="732"/>
      <c r="AF766" s="732"/>
      <c r="AI766" s="109" t="str">
        <f>"52:field216:" &amp; IF(I766="■",1,IF(L766="■",3,IF(O766="■",2,0)))</f>
        <v>52:field216:0</v>
      </c>
    </row>
    <row r="767" spans="1:35" s="109" customFormat="1" ht="18.75" customHeight="1" x14ac:dyDescent="0.2">
      <c r="A767" s="139"/>
      <c r="B767" s="123"/>
      <c r="C767" s="248"/>
      <c r="D767" s="249"/>
      <c r="E767" s="128"/>
      <c r="F767" s="142"/>
      <c r="G767" s="128"/>
      <c r="H767" s="239" t="s">
        <v>198</v>
      </c>
      <c r="I767" s="150" t="s">
        <v>383</v>
      </c>
      <c r="J767" s="169" t="s">
        <v>250</v>
      </c>
      <c r="K767" s="179"/>
      <c r="L767" s="203" t="s">
        <v>383</v>
      </c>
      <c r="M767" s="169" t="s">
        <v>267</v>
      </c>
      <c r="N767" s="158"/>
      <c r="O767" s="162"/>
      <c r="P767" s="162"/>
      <c r="Q767" s="162"/>
      <c r="R767" s="162"/>
      <c r="S767" s="162"/>
      <c r="T767" s="162"/>
      <c r="U767" s="162"/>
      <c r="V767" s="162"/>
      <c r="W767" s="162"/>
      <c r="X767" s="163"/>
      <c r="Y767" s="154"/>
      <c r="Z767" s="147"/>
      <c r="AA767" s="147"/>
      <c r="AB767" s="148"/>
      <c r="AC767" s="732"/>
      <c r="AD767" s="732"/>
      <c r="AE767" s="732"/>
      <c r="AF767" s="732"/>
      <c r="AI767" s="109" t="str">
        <f>"52:field210:" &amp; IF(I767="■",1,IF(L767="■",2,0))</f>
        <v>52:field210:0</v>
      </c>
    </row>
    <row r="768" spans="1:35" s="109" customFormat="1" ht="18.75" customHeight="1" x14ac:dyDescent="0.2">
      <c r="A768" s="139"/>
      <c r="B768" s="123"/>
      <c r="C768" s="248"/>
      <c r="D768" s="249"/>
      <c r="E768" s="128"/>
      <c r="F768" s="142"/>
      <c r="G768" s="128"/>
      <c r="H768" s="242" t="s">
        <v>225</v>
      </c>
      <c r="I768" s="150" t="s">
        <v>383</v>
      </c>
      <c r="J768" s="169" t="s">
        <v>250</v>
      </c>
      <c r="K768" s="179"/>
      <c r="L768" s="203" t="s">
        <v>383</v>
      </c>
      <c r="M768" s="169" t="s">
        <v>267</v>
      </c>
      <c r="N768" s="158"/>
      <c r="O768" s="162"/>
      <c r="P768" s="162"/>
      <c r="Q768" s="162"/>
      <c r="R768" s="162"/>
      <c r="S768" s="162"/>
      <c r="T768" s="162"/>
      <c r="U768" s="162"/>
      <c r="V768" s="162"/>
      <c r="W768" s="162"/>
      <c r="X768" s="163"/>
      <c r="Y768" s="154"/>
      <c r="Z768" s="147"/>
      <c r="AA768" s="147"/>
      <c r="AB768" s="148"/>
      <c r="AC768" s="732"/>
      <c r="AD768" s="732"/>
      <c r="AE768" s="732"/>
      <c r="AF768" s="732"/>
      <c r="AI768" s="109" t="str">
        <f>"52:field211:" &amp; IF(I768="■",1,IF(L768="■",2,0))</f>
        <v>52:field211:0</v>
      </c>
    </row>
    <row r="769" spans="1:36" s="109" customFormat="1" ht="18.75" customHeight="1" x14ac:dyDescent="0.2">
      <c r="A769" s="139"/>
      <c r="B769" s="123"/>
      <c r="C769" s="248"/>
      <c r="D769" s="249"/>
      <c r="E769" s="128"/>
      <c r="F769" s="142"/>
      <c r="G769" s="128"/>
      <c r="H769" s="242" t="s">
        <v>197</v>
      </c>
      <c r="I769" s="150" t="s">
        <v>383</v>
      </c>
      <c r="J769" s="169" t="s">
        <v>250</v>
      </c>
      <c r="K769" s="179"/>
      <c r="L769" s="203" t="s">
        <v>383</v>
      </c>
      <c r="M769" s="169" t="s">
        <v>267</v>
      </c>
      <c r="N769" s="158"/>
      <c r="O769" s="162"/>
      <c r="P769" s="162"/>
      <c r="Q769" s="162"/>
      <c r="R769" s="162"/>
      <c r="S769" s="162"/>
      <c r="T769" s="162"/>
      <c r="U769" s="162"/>
      <c r="V769" s="162"/>
      <c r="W769" s="162"/>
      <c r="X769" s="163"/>
      <c r="Y769" s="154"/>
      <c r="Z769" s="147"/>
      <c r="AA769" s="147"/>
      <c r="AB769" s="148"/>
      <c r="AC769" s="732"/>
      <c r="AD769" s="732"/>
      <c r="AE769" s="732"/>
      <c r="AF769" s="732"/>
      <c r="AI769" s="109" t="str">
        <f>"52:field212:" &amp; IF(I769="■",1,IF(L769="■",2,0))</f>
        <v>52:field212:0</v>
      </c>
    </row>
    <row r="770" spans="1:36" s="109" customFormat="1" ht="18.75" customHeight="1" x14ac:dyDescent="0.2">
      <c r="A770" s="139"/>
      <c r="B770" s="123"/>
      <c r="C770" s="248"/>
      <c r="D770" s="249"/>
      <c r="E770" s="128"/>
      <c r="F770" s="142"/>
      <c r="G770" s="128"/>
      <c r="H770" s="242" t="s">
        <v>206</v>
      </c>
      <c r="I770" s="150" t="s">
        <v>383</v>
      </c>
      <c r="J770" s="169" t="s">
        <v>250</v>
      </c>
      <c r="K770" s="179"/>
      <c r="L770" s="203" t="s">
        <v>383</v>
      </c>
      <c r="M770" s="169" t="s">
        <v>267</v>
      </c>
      <c r="N770" s="158"/>
      <c r="O770" s="162"/>
      <c r="P770" s="162"/>
      <c r="Q770" s="162"/>
      <c r="R770" s="162"/>
      <c r="S770" s="162"/>
      <c r="T770" s="162"/>
      <c r="U770" s="162"/>
      <c r="V770" s="162"/>
      <c r="W770" s="162"/>
      <c r="X770" s="163"/>
      <c r="Y770" s="154"/>
      <c r="Z770" s="147"/>
      <c r="AA770" s="147"/>
      <c r="AB770" s="148"/>
      <c r="AC770" s="732"/>
      <c r="AD770" s="732"/>
      <c r="AE770" s="732"/>
      <c r="AF770" s="732"/>
      <c r="AI770" s="109" t="str">
        <f>"52:field209:" &amp; IF(I770="■",1,IF(L770="■",2,0))</f>
        <v>52:field209:0</v>
      </c>
    </row>
    <row r="771" spans="1:36" s="109" customFormat="1" ht="18.75" customHeight="1" x14ac:dyDescent="0.2">
      <c r="A771" s="139"/>
      <c r="B771" s="123"/>
      <c r="C771" s="248"/>
      <c r="D771" s="249"/>
      <c r="E771" s="128"/>
      <c r="F771" s="142"/>
      <c r="G771" s="128"/>
      <c r="H771" s="242" t="s">
        <v>461</v>
      </c>
      <c r="I771" s="156" t="s">
        <v>383</v>
      </c>
      <c r="J771" s="157" t="s">
        <v>250</v>
      </c>
      <c r="K771" s="157"/>
      <c r="L771" s="160" t="s">
        <v>383</v>
      </c>
      <c r="M771" s="169" t="s">
        <v>267</v>
      </c>
      <c r="N771" s="157"/>
      <c r="O771" s="157"/>
      <c r="P771" s="157"/>
      <c r="Q771" s="158"/>
      <c r="R771" s="158"/>
      <c r="S771" s="158"/>
      <c r="T771" s="158"/>
      <c r="U771" s="158"/>
      <c r="V771" s="158"/>
      <c r="W771" s="158"/>
      <c r="X771" s="166"/>
      <c r="Y771" s="154"/>
      <c r="Z771" s="147"/>
      <c r="AA771" s="147"/>
      <c r="AB771" s="148"/>
      <c r="AC771" s="732"/>
      <c r="AD771" s="732"/>
      <c r="AE771" s="732"/>
      <c r="AF771" s="732"/>
      <c r="AI771" s="109" t="str">
        <f>"52:field226:" &amp; IF(I771="■",1,IF(L771="■",2,0))</f>
        <v>52:field226:0</v>
      </c>
    </row>
    <row r="772" spans="1:36" s="109" customFormat="1" ht="18.75" customHeight="1" x14ac:dyDescent="0.2">
      <c r="A772" s="139"/>
      <c r="B772" s="123"/>
      <c r="C772" s="248"/>
      <c r="D772" s="249"/>
      <c r="E772" s="128"/>
      <c r="F772" s="142"/>
      <c r="G772" s="128"/>
      <c r="H772" s="242" t="s">
        <v>462</v>
      </c>
      <c r="I772" s="156" t="s">
        <v>383</v>
      </c>
      <c r="J772" s="157" t="s">
        <v>250</v>
      </c>
      <c r="K772" s="157"/>
      <c r="L772" s="160" t="s">
        <v>383</v>
      </c>
      <c r="M772" s="169" t="s">
        <v>267</v>
      </c>
      <c r="N772" s="157"/>
      <c r="O772" s="157"/>
      <c r="P772" s="157"/>
      <c r="Q772" s="158"/>
      <c r="R772" s="158"/>
      <c r="S772" s="158"/>
      <c r="T772" s="158"/>
      <c r="U772" s="158"/>
      <c r="V772" s="158"/>
      <c r="W772" s="158"/>
      <c r="X772" s="166"/>
      <c r="Y772" s="154"/>
      <c r="Z772" s="147"/>
      <c r="AA772" s="147"/>
      <c r="AB772" s="148"/>
      <c r="AC772" s="732"/>
      <c r="AD772" s="732"/>
      <c r="AE772" s="732"/>
      <c r="AF772" s="732"/>
      <c r="AI772" s="109" t="str">
        <f>"52:field227:" &amp; IF(I772="■",1,IF(L772="■",2,0))</f>
        <v>52:field227:0</v>
      </c>
    </row>
    <row r="773" spans="1:36" s="109" customFormat="1" ht="18.75" customHeight="1" x14ac:dyDescent="0.2">
      <c r="A773" s="139"/>
      <c r="B773" s="123"/>
      <c r="C773" s="248"/>
      <c r="D773" s="249"/>
      <c r="E773" s="128"/>
      <c r="F773" s="142"/>
      <c r="G773" s="128"/>
      <c r="H773" s="250" t="s">
        <v>442</v>
      </c>
      <c r="I773" s="156" t="s">
        <v>383</v>
      </c>
      <c r="J773" s="157" t="s">
        <v>250</v>
      </c>
      <c r="K773" s="157"/>
      <c r="L773" s="160" t="s">
        <v>383</v>
      </c>
      <c r="M773" s="157" t="s">
        <v>251</v>
      </c>
      <c r="N773" s="157"/>
      <c r="O773" s="160" t="s">
        <v>383</v>
      </c>
      <c r="P773" s="157" t="s">
        <v>252</v>
      </c>
      <c r="Q773" s="162"/>
      <c r="R773" s="162"/>
      <c r="S773" s="162"/>
      <c r="T773" s="162"/>
      <c r="U773" s="251"/>
      <c r="V773" s="251"/>
      <c r="W773" s="251"/>
      <c r="X773" s="252"/>
      <c r="Y773" s="154"/>
      <c r="Z773" s="147"/>
      <c r="AA773" s="147"/>
      <c r="AB773" s="148"/>
      <c r="AC773" s="732"/>
      <c r="AD773" s="732"/>
      <c r="AE773" s="732"/>
      <c r="AF773" s="732"/>
      <c r="AI773" s="109" t="str">
        <f>"52:field225:" &amp; IF(I773="■",1,IF(L773="■",2,IF(O773="■",3,0)))</f>
        <v>52:field225:0</v>
      </c>
    </row>
    <row r="774" spans="1:36" s="109" customFormat="1" ht="18.75" customHeight="1" x14ac:dyDescent="0.2">
      <c r="A774" s="139"/>
      <c r="B774" s="123"/>
      <c r="C774" s="248"/>
      <c r="D774" s="249"/>
      <c r="E774" s="128"/>
      <c r="F774" s="142"/>
      <c r="G774" s="128"/>
      <c r="H774" s="242" t="s">
        <v>118</v>
      </c>
      <c r="I774" s="156" t="s">
        <v>383</v>
      </c>
      <c r="J774" s="157" t="s">
        <v>250</v>
      </c>
      <c r="K774" s="157"/>
      <c r="L774" s="160" t="s">
        <v>383</v>
      </c>
      <c r="M774" s="157" t="s">
        <v>258</v>
      </c>
      <c r="N774" s="157"/>
      <c r="O774" s="160" t="s">
        <v>383</v>
      </c>
      <c r="P774" s="157" t="s">
        <v>259</v>
      </c>
      <c r="Q774" s="207"/>
      <c r="R774" s="160" t="s">
        <v>383</v>
      </c>
      <c r="S774" s="157" t="s">
        <v>283</v>
      </c>
      <c r="T774" s="157"/>
      <c r="U774" s="207"/>
      <c r="V774" s="207"/>
      <c r="W774" s="207"/>
      <c r="X774" s="208"/>
      <c r="Y774" s="154"/>
      <c r="Z774" s="147"/>
      <c r="AA774" s="147"/>
      <c r="AB774" s="148"/>
      <c r="AC774" s="732"/>
      <c r="AD774" s="732"/>
      <c r="AE774" s="732"/>
      <c r="AF774" s="732"/>
      <c r="AI774" s="109" t="str">
        <f>"52:serteikyo_kyoka_code:" &amp; IF(I774="■",1,IF(L774="■",6,IF(O774="■",5,IF(R774="■",7,0))))</f>
        <v>52:serteikyo_kyoka_code:0</v>
      </c>
    </row>
    <row r="775" spans="1:36" s="621" customFormat="1" ht="18.75" customHeight="1" x14ac:dyDescent="0.2">
      <c r="A775" s="139"/>
      <c r="B775" s="670"/>
      <c r="C775" s="248"/>
      <c r="D775" s="249"/>
      <c r="E775" s="128"/>
      <c r="F775" s="142"/>
      <c r="G775" s="143"/>
      <c r="H775" s="713" t="s">
        <v>790</v>
      </c>
      <c r="I775" s="642" t="s">
        <v>383</v>
      </c>
      <c r="J775" s="616" t="s">
        <v>627</v>
      </c>
      <c r="K775" s="616"/>
      <c r="L775" s="615"/>
      <c r="M775" s="644" t="s">
        <v>383</v>
      </c>
      <c r="N775" s="616" t="s">
        <v>791</v>
      </c>
      <c r="O775" s="617"/>
      <c r="P775" s="615"/>
      <c r="Q775" s="644" t="s">
        <v>383</v>
      </c>
      <c r="R775" s="618" t="s">
        <v>802</v>
      </c>
      <c r="S775" s="615"/>
      <c r="T775" s="615"/>
      <c r="U775" s="615"/>
      <c r="V775" s="618"/>
      <c r="W775" s="619"/>
      <c r="X775" s="620"/>
      <c r="Y775" s="154"/>
      <c r="Z775" s="147"/>
      <c r="AA775" s="147"/>
      <c r="AB775" s="148"/>
      <c r="AC775" s="733"/>
      <c r="AD775" s="733"/>
      <c r="AE775" s="733"/>
      <c r="AF775" s="733"/>
    </row>
    <row r="776" spans="1:36" s="621" customFormat="1" ht="18.75" customHeight="1" x14ac:dyDescent="0.2">
      <c r="A776" s="139"/>
      <c r="B776" s="670"/>
      <c r="C776" s="248"/>
      <c r="D776" s="249"/>
      <c r="E776" s="128"/>
      <c r="F776" s="142"/>
      <c r="G776" s="143"/>
      <c r="H776" s="714"/>
      <c r="I776" s="643" t="s">
        <v>383</v>
      </c>
      <c r="J776" s="623" t="s">
        <v>803</v>
      </c>
      <c r="K776" s="623"/>
      <c r="L776" s="622"/>
      <c r="M776" s="211" t="s">
        <v>383</v>
      </c>
      <c r="N776" s="623" t="s">
        <v>804</v>
      </c>
      <c r="O776" s="624"/>
      <c r="P776" s="622"/>
      <c r="Q776" s="211" t="s">
        <v>383</v>
      </c>
      <c r="R776" s="623" t="s">
        <v>795</v>
      </c>
      <c r="S776" s="622"/>
      <c r="T776" s="623"/>
      <c r="U776" s="211" t="s">
        <v>383</v>
      </c>
      <c r="V776" s="623" t="s">
        <v>796</v>
      </c>
      <c r="W776" s="625"/>
      <c r="X776" s="626"/>
      <c r="Y776" s="154"/>
      <c r="Z776" s="147"/>
      <c r="AA776" s="147"/>
      <c r="AB776" s="148"/>
      <c r="AC776" s="733"/>
      <c r="AD776" s="733"/>
      <c r="AE776" s="733"/>
      <c r="AF776" s="733"/>
    </row>
    <row r="777" spans="1:36" s="109" customFormat="1" ht="18.75" customHeight="1" x14ac:dyDescent="0.2">
      <c r="A777" s="129"/>
      <c r="B777" s="116"/>
      <c r="C777" s="272"/>
      <c r="D777" s="273"/>
      <c r="E777" s="121"/>
      <c r="F777" s="132"/>
      <c r="G777" s="121"/>
      <c r="H777" s="226" t="s">
        <v>97</v>
      </c>
      <c r="I777" s="196" t="s">
        <v>383</v>
      </c>
      <c r="J777" s="197" t="s">
        <v>300</v>
      </c>
      <c r="K777" s="198"/>
      <c r="L777" s="199"/>
      <c r="M777" s="200" t="s">
        <v>383</v>
      </c>
      <c r="N777" s="197" t="s">
        <v>301</v>
      </c>
      <c r="O777" s="201"/>
      <c r="P777" s="201"/>
      <c r="Q777" s="201"/>
      <c r="R777" s="201"/>
      <c r="S777" s="201"/>
      <c r="T777" s="201"/>
      <c r="U777" s="201"/>
      <c r="V777" s="201"/>
      <c r="W777" s="201"/>
      <c r="X777" s="202"/>
      <c r="Y777" s="138" t="s">
        <v>383</v>
      </c>
      <c r="Z777" s="119" t="s">
        <v>249</v>
      </c>
      <c r="AA777" s="119"/>
      <c r="AB777" s="137"/>
      <c r="AC777" s="730"/>
      <c r="AD777" s="730"/>
      <c r="AE777" s="730"/>
      <c r="AF777" s="730"/>
      <c r="AG777" s="109" t="str">
        <f>"ser_code = '" &amp; IF(A793="■",52,"") &amp; "'"</f>
        <v>ser_code = ''</v>
      </c>
      <c r="AI777" s="109" t="str">
        <f>"52:yakan_kinmu_code:" &amp; IF(I777="■",1,IF(M777="■",6,0))</f>
        <v>52:yakan_kinmu_code:0</v>
      </c>
      <c r="AJ777" s="109" t="str">
        <f>"52:field203:" &amp; IF(Y777="■",1,IF(Y778="■",2,0))</f>
        <v>52:field203:0</v>
      </c>
    </row>
    <row r="778" spans="1:36" s="109" customFormat="1" ht="18.75" customHeight="1" x14ac:dyDescent="0.2">
      <c r="A778" s="139"/>
      <c r="B778" s="123"/>
      <c r="C778" s="248"/>
      <c r="D778" s="249"/>
      <c r="E778" s="128"/>
      <c r="F778" s="142"/>
      <c r="G778" s="128"/>
      <c r="H778" s="741" t="s">
        <v>93</v>
      </c>
      <c r="I778" s="175" t="s">
        <v>383</v>
      </c>
      <c r="J778" s="168" t="s">
        <v>250</v>
      </c>
      <c r="K778" s="168"/>
      <c r="L778" s="172"/>
      <c r="M778" s="206" t="s">
        <v>383</v>
      </c>
      <c r="N778" s="168" t="s">
        <v>289</v>
      </c>
      <c r="O778" s="168"/>
      <c r="P778" s="172"/>
      <c r="Q778" s="206" t="s">
        <v>383</v>
      </c>
      <c r="R778" s="172" t="s">
        <v>290</v>
      </c>
      <c r="S778" s="172"/>
      <c r="T778" s="172"/>
      <c r="U778" s="206" t="s">
        <v>383</v>
      </c>
      <c r="V778" s="172" t="s">
        <v>291</v>
      </c>
      <c r="W778" s="172"/>
      <c r="X778" s="209"/>
      <c r="Y778" s="125" t="s">
        <v>383</v>
      </c>
      <c r="Z778" s="126" t="s">
        <v>255</v>
      </c>
      <c r="AA778" s="147"/>
      <c r="AB778" s="148"/>
      <c r="AC778" s="732"/>
      <c r="AD778" s="732"/>
      <c r="AE778" s="732"/>
      <c r="AF778" s="732"/>
      <c r="AG778" s="109" t="str">
        <f>"52:sisetukbn_code:" &amp; IF(D792="■",6,IF(D793="■",8,0))</f>
        <v>52:sisetukbn_code:0</v>
      </c>
      <c r="AI778" s="109" t="str">
        <f>"52:"&amp;IF(AND(I778="□",M778="□",Q778="□",U778="□",I779="□",M779="□",Q779="□",I780="□"),"ketu_doctor_code:0",IF(I778="■","ketu_doctor_code:1:ketu_kangos_code:1:ketu_kshoku_code:1:ketu_rryoho_code:1:ketu_sryoho_code:1:ketu_ksiensou_code:1:ketu_gengo_code:1",IF(M778="■","ketu_doctor_code:2","ketu_doctor_code:1")
&amp;IF(Q778="■",":ketu_kangos_code:2",":ketu_kangos_code:1")
&amp;IF(U778="■",":ketu_kshoku_code:2",":ketu_kshoku_code:1")
&amp;IF(I779="■",":ketu_rryoho_code:2",":ketu_rryoho_code:1")
&amp;IF(M779="■",":ketu_sryoho_code:2",":ketu_sryoho_code:1")
&amp;IF(Q779="■",":ketu_ksiensou_code:2",":ketu_ksiensou_code:1")
&amp;IF(I780="■",":ketu_gengo_code:2",":ketu_gengo_code:1")))</f>
        <v>52:ketu_doctor_code:0</v>
      </c>
    </row>
    <row r="779" spans="1:36" s="109" customFormat="1" ht="18.75" customHeight="1" x14ac:dyDescent="0.2">
      <c r="A779" s="139"/>
      <c r="B779" s="123"/>
      <c r="C779" s="248"/>
      <c r="D779" s="249"/>
      <c r="E779" s="128"/>
      <c r="F779" s="142"/>
      <c r="G779" s="128"/>
      <c r="H779" s="706"/>
      <c r="I779" s="125" t="s">
        <v>383</v>
      </c>
      <c r="J779" s="126" t="s">
        <v>292</v>
      </c>
      <c r="K779" s="126"/>
      <c r="L779" s="108"/>
      <c r="M779" s="118" t="s">
        <v>383</v>
      </c>
      <c r="N779" s="126" t="s">
        <v>293</v>
      </c>
      <c r="O779" s="126"/>
      <c r="P779" s="108"/>
      <c r="Q779" s="118" t="s">
        <v>383</v>
      </c>
      <c r="R779" s="108" t="s">
        <v>405</v>
      </c>
      <c r="S779" s="108"/>
      <c r="T779" s="108"/>
      <c r="U779" s="108"/>
      <c r="V779" s="108"/>
      <c r="W779" s="108"/>
      <c r="X779" s="178"/>
      <c r="Y779" s="154"/>
      <c r="Z779" s="147"/>
      <c r="AA779" s="147"/>
      <c r="AB779" s="148"/>
      <c r="AC779" s="732"/>
      <c r="AD779" s="732"/>
      <c r="AE779" s="732"/>
      <c r="AF779" s="732"/>
    </row>
    <row r="780" spans="1:36" s="109" customFormat="1" ht="18.75" customHeight="1" x14ac:dyDescent="0.2">
      <c r="A780" s="139"/>
      <c r="B780" s="123"/>
      <c r="C780" s="248"/>
      <c r="D780" s="249"/>
      <c r="E780" s="128"/>
      <c r="F780" s="142"/>
      <c r="G780" s="128"/>
      <c r="H780" s="742"/>
      <c r="I780" s="150" t="s">
        <v>383</v>
      </c>
      <c r="J780" s="169" t="s">
        <v>406</v>
      </c>
      <c r="K780" s="169"/>
      <c r="L780" s="151"/>
      <c r="M780" s="169"/>
      <c r="N780" s="169"/>
      <c r="O780" s="169"/>
      <c r="P780" s="151"/>
      <c r="Q780" s="169"/>
      <c r="R780" s="151"/>
      <c r="S780" s="151"/>
      <c r="T780" s="151"/>
      <c r="U780" s="151"/>
      <c r="V780" s="151"/>
      <c r="W780" s="151"/>
      <c r="X780" s="238"/>
      <c r="Y780" s="154"/>
      <c r="Z780" s="147"/>
      <c r="AA780" s="147"/>
      <c r="AB780" s="148"/>
      <c r="AC780" s="732"/>
      <c r="AD780" s="732"/>
      <c r="AE780" s="732"/>
      <c r="AF780" s="732"/>
    </row>
    <row r="781" spans="1:36" s="109" customFormat="1" ht="18.75" customHeight="1" x14ac:dyDescent="0.2">
      <c r="A781" s="139"/>
      <c r="B781" s="123"/>
      <c r="C781" s="248"/>
      <c r="D781" s="249"/>
      <c r="E781" s="128"/>
      <c r="F781" s="142"/>
      <c r="G781" s="128"/>
      <c r="H781" s="242" t="s">
        <v>98</v>
      </c>
      <c r="I781" s="156" t="s">
        <v>383</v>
      </c>
      <c r="J781" s="157" t="s">
        <v>265</v>
      </c>
      <c r="K781" s="158"/>
      <c r="L781" s="159"/>
      <c r="M781" s="160" t="s">
        <v>383</v>
      </c>
      <c r="N781" s="157" t="s">
        <v>266</v>
      </c>
      <c r="O781" s="158"/>
      <c r="P781" s="158"/>
      <c r="Q781" s="162"/>
      <c r="R781" s="162"/>
      <c r="S781" s="162"/>
      <c r="T781" s="162"/>
      <c r="U781" s="162"/>
      <c r="V781" s="162"/>
      <c r="W781" s="162"/>
      <c r="X781" s="163"/>
      <c r="Y781" s="154"/>
      <c r="Z781" s="147"/>
      <c r="AA781" s="147"/>
      <c r="AB781" s="148"/>
      <c r="AC781" s="732"/>
      <c r="AD781" s="732"/>
      <c r="AE781" s="732"/>
      <c r="AF781" s="732"/>
      <c r="AI781" s="109" t="str">
        <f>"52:unitcare_code:" &amp; IF(I781="■",1,IF(M781="■",2,0))</f>
        <v>52:unitcare_code:0</v>
      </c>
    </row>
    <row r="782" spans="1:36" s="109" customFormat="1" ht="18.75" customHeight="1" x14ac:dyDescent="0.2">
      <c r="A782" s="139"/>
      <c r="B782" s="123"/>
      <c r="C782" s="248"/>
      <c r="D782" s="249"/>
      <c r="E782" s="128"/>
      <c r="F782" s="142"/>
      <c r="G782" s="128"/>
      <c r="H782" s="242" t="s">
        <v>107</v>
      </c>
      <c r="I782" s="156" t="s">
        <v>383</v>
      </c>
      <c r="J782" s="157" t="s">
        <v>395</v>
      </c>
      <c r="K782" s="158"/>
      <c r="L782" s="159"/>
      <c r="M782" s="160" t="s">
        <v>383</v>
      </c>
      <c r="N782" s="157" t="s">
        <v>396</v>
      </c>
      <c r="O782" s="158"/>
      <c r="P782" s="158"/>
      <c r="Q782" s="162"/>
      <c r="R782" s="162"/>
      <c r="S782" s="162"/>
      <c r="T782" s="162"/>
      <c r="U782" s="162"/>
      <c r="V782" s="162"/>
      <c r="W782" s="162"/>
      <c r="X782" s="163"/>
      <c r="Y782" s="154"/>
      <c r="Z782" s="147"/>
      <c r="AA782" s="147"/>
      <c r="AB782" s="148"/>
      <c r="AC782" s="732"/>
      <c r="AD782" s="732"/>
      <c r="AE782" s="732"/>
      <c r="AF782" s="732"/>
      <c r="AI782" s="109" t="str">
        <f>"52:sintaikousoku_code:" &amp; IF(I782="■",1,IF(M782="■",2,0))</f>
        <v>52:sintaikousoku_code:0</v>
      </c>
    </row>
    <row r="783" spans="1:36" s="109" customFormat="1" ht="18.75" customHeight="1" x14ac:dyDescent="0.2">
      <c r="A783" s="139"/>
      <c r="B783" s="123"/>
      <c r="C783" s="248"/>
      <c r="D783" s="249"/>
      <c r="E783" s="128"/>
      <c r="F783" s="142"/>
      <c r="G783" s="128"/>
      <c r="H783" s="242" t="s">
        <v>200</v>
      </c>
      <c r="I783" s="156" t="s">
        <v>383</v>
      </c>
      <c r="J783" s="157" t="s">
        <v>395</v>
      </c>
      <c r="K783" s="158"/>
      <c r="L783" s="159"/>
      <c r="M783" s="160" t="s">
        <v>383</v>
      </c>
      <c r="N783" s="157" t="s">
        <v>396</v>
      </c>
      <c r="O783" s="158"/>
      <c r="P783" s="158"/>
      <c r="Q783" s="162"/>
      <c r="R783" s="162"/>
      <c r="S783" s="162"/>
      <c r="T783" s="162"/>
      <c r="U783" s="162"/>
      <c r="V783" s="162"/>
      <c r="W783" s="162"/>
      <c r="X783" s="163"/>
      <c r="Y783" s="154"/>
      <c r="Z783" s="147"/>
      <c r="AA783" s="147"/>
      <c r="AB783" s="148"/>
      <c r="AC783" s="732"/>
      <c r="AD783" s="732"/>
      <c r="AE783" s="732"/>
      <c r="AF783" s="732"/>
      <c r="AI783" s="109" t="str">
        <f>"52:field208:" &amp; IF(I783="■",1,IF(M783="■",2,0))</f>
        <v>52:field208:0</v>
      </c>
    </row>
    <row r="784" spans="1:36" s="109" customFormat="1" ht="19.5" customHeight="1" x14ac:dyDescent="0.2">
      <c r="A784" s="139"/>
      <c r="B784" s="123"/>
      <c r="C784" s="140"/>
      <c r="D784" s="141"/>
      <c r="E784" s="128"/>
      <c r="F784" s="142"/>
      <c r="G784" s="143"/>
      <c r="H784" s="155" t="s">
        <v>430</v>
      </c>
      <c r="I784" s="156" t="s">
        <v>383</v>
      </c>
      <c r="J784" s="157" t="s">
        <v>395</v>
      </c>
      <c r="K784" s="158"/>
      <c r="L784" s="159"/>
      <c r="M784" s="160" t="s">
        <v>383</v>
      </c>
      <c r="N784" s="157" t="s">
        <v>431</v>
      </c>
      <c r="O784" s="161"/>
      <c r="P784" s="157"/>
      <c r="Q784" s="162"/>
      <c r="R784" s="162"/>
      <c r="S784" s="162"/>
      <c r="T784" s="162"/>
      <c r="U784" s="162"/>
      <c r="V784" s="162"/>
      <c r="W784" s="162"/>
      <c r="X784" s="163"/>
      <c r="Y784" s="147"/>
      <c r="Z784" s="147"/>
      <c r="AA784" s="147"/>
      <c r="AB784" s="148"/>
      <c r="AC784" s="732"/>
      <c r="AD784" s="732"/>
      <c r="AE784" s="732"/>
      <c r="AF784" s="732"/>
      <c r="AI784" s="109" t="str">
        <f>"52:field223:" &amp; IF(I784="■",1,IF(M784="■",2,0))</f>
        <v>52:field223:0</v>
      </c>
    </row>
    <row r="785" spans="1:35" s="109" customFormat="1" ht="19.5" customHeight="1" x14ac:dyDescent="0.2">
      <c r="A785" s="139"/>
      <c r="B785" s="123"/>
      <c r="C785" s="140"/>
      <c r="D785" s="141"/>
      <c r="E785" s="128"/>
      <c r="F785" s="142"/>
      <c r="G785" s="143"/>
      <c r="H785" s="155" t="s">
        <v>448</v>
      </c>
      <c r="I785" s="156" t="s">
        <v>383</v>
      </c>
      <c r="J785" s="157" t="s">
        <v>395</v>
      </c>
      <c r="K785" s="158"/>
      <c r="L785" s="159"/>
      <c r="M785" s="160" t="s">
        <v>383</v>
      </c>
      <c r="N785" s="157" t="s">
        <v>431</v>
      </c>
      <c r="O785" s="161"/>
      <c r="P785" s="157"/>
      <c r="Q785" s="162"/>
      <c r="R785" s="162"/>
      <c r="S785" s="162"/>
      <c r="T785" s="162"/>
      <c r="U785" s="162"/>
      <c r="V785" s="162"/>
      <c r="W785" s="162"/>
      <c r="X785" s="163"/>
      <c r="Y785" s="147"/>
      <c r="Z785" s="147"/>
      <c r="AA785" s="147"/>
      <c r="AB785" s="148"/>
      <c r="AC785" s="732"/>
      <c r="AD785" s="732"/>
      <c r="AE785" s="732"/>
      <c r="AF785" s="732"/>
      <c r="AI785" s="109" t="str">
        <f>"52:field232:" &amp; IF(I785="■",1,IF(M785="■",2,0))</f>
        <v>52:field232:0</v>
      </c>
    </row>
    <row r="786" spans="1:35" s="109" customFormat="1" ht="37.5" customHeight="1" x14ac:dyDescent="0.2">
      <c r="A786" s="139"/>
      <c r="B786" s="123"/>
      <c r="C786" s="248"/>
      <c r="D786" s="249"/>
      <c r="E786" s="128"/>
      <c r="F786" s="142"/>
      <c r="G786" s="128"/>
      <c r="H786" s="164" t="s">
        <v>202</v>
      </c>
      <c r="I786" s="150" t="s">
        <v>383</v>
      </c>
      <c r="J786" s="169" t="s">
        <v>250</v>
      </c>
      <c r="K786" s="179"/>
      <c r="L786" s="203" t="s">
        <v>383</v>
      </c>
      <c r="M786" s="169" t="s">
        <v>267</v>
      </c>
      <c r="N786" s="158"/>
      <c r="O786" s="207"/>
      <c r="P786" s="207"/>
      <c r="Q786" s="207"/>
      <c r="R786" s="207"/>
      <c r="S786" s="207"/>
      <c r="T786" s="207"/>
      <c r="U786" s="207"/>
      <c r="V786" s="207"/>
      <c r="W786" s="207"/>
      <c r="X786" s="208"/>
      <c r="Y786" s="154"/>
      <c r="Z786" s="147"/>
      <c r="AA786" s="147"/>
      <c r="AB786" s="148"/>
      <c r="AC786" s="732"/>
      <c r="AD786" s="732"/>
      <c r="AE786" s="732"/>
      <c r="AF786" s="732"/>
      <c r="AI786" s="109" t="str">
        <f>"52:field206:" &amp; IF(I786="■",1,IF(L786="■",2,0))</f>
        <v>52:field206:0</v>
      </c>
    </row>
    <row r="787" spans="1:35" s="109" customFormat="1" ht="18.75" customHeight="1" x14ac:dyDescent="0.2">
      <c r="A787" s="139"/>
      <c r="B787" s="123"/>
      <c r="C787" s="248"/>
      <c r="D787" s="249"/>
      <c r="E787" s="128"/>
      <c r="F787" s="142"/>
      <c r="G787" s="128"/>
      <c r="H787" s="242" t="s">
        <v>111</v>
      </c>
      <c r="I787" s="150" t="s">
        <v>383</v>
      </c>
      <c r="J787" s="169" t="s">
        <v>250</v>
      </c>
      <c r="K787" s="179"/>
      <c r="L787" s="203" t="s">
        <v>383</v>
      </c>
      <c r="M787" s="169" t="s">
        <v>267</v>
      </c>
      <c r="N787" s="158"/>
      <c r="O787" s="162"/>
      <c r="P787" s="162"/>
      <c r="Q787" s="162"/>
      <c r="R787" s="162"/>
      <c r="S787" s="162"/>
      <c r="T787" s="162"/>
      <c r="U787" s="162"/>
      <c r="V787" s="162"/>
      <c r="W787" s="162"/>
      <c r="X787" s="163"/>
      <c r="Y787" s="154"/>
      <c r="Z787" s="147"/>
      <c r="AA787" s="147"/>
      <c r="AB787" s="148"/>
      <c r="AC787" s="732"/>
      <c r="AD787" s="732"/>
      <c r="AE787" s="732"/>
      <c r="AF787" s="732"/>
      <c r="AI787" s="109" t="str">
        <f>"52:yakinhaiti_code:" &amp; IF(I787="■",1,IF(L787="■",2,0))</f>
        <v>52:yakinhaiti_code:0</v>
      </c>
    </row>
    <row r="788" spans="1:35" s="109" customFormat="1" ht="18.75" customHeight="1" x14ac:dyDescent="0.2">
      <c r="A788" s="139"/>
      <c r="B788" s="123"/>
      <c r="C788" s="248"/>
      <c r="D788" s="249"/>
      <c r="E788" s="128"/>
      <c r="F788" s="142"/>
      <c r="G788" s="128"/>
      <c r="H788" s="242" t="s">
        <v>138</v>
      </c>
      <c r="I788" s="150" t="s">
        <v>383</v>
      </c>
      <c r="J788" s="169" t="s">
        <v>250</v>
      </c>
      <c r="K788" s="179"/>
      <c r="L788" s="203" t="s">
        <v>383</v>
      </c>
      <c r="M788" s="169" t="s">
        <v>267</v>
      </c>
      <c r="N788" s="158"/>
      <c r="O788" s="157"/>
      <c r="P788" s="157"/>
      <c r="Q788" s="157"/>
      <c r="R788" s="157"/>
      <c r="S788" s="157"/>
      <c r="T788" s="157"/>
      <c r="U788" s="157"/>
      <c r="V788" s="157"/>
      <c r="W788" s="157"/>
      <c r="X788" s="165"/>
      <c r="Y788" s="154"/>
      <c r="Z788" s="147"/>
      <c r="AA788" s="147"/>
      <c r="AB788" s="148"/>
      <c r="AC788" s="732"/>
      <c r="AD788" s="732"/>
      <c r="AE788" s="732"/>
      <c r="AF788" s="732"/>
      <c r="AI788" s="109" t="str">
        <f>"52:ninti_riha_code:" &amp; IF(I788="■",1,IF(L788="■",2,0))</f>
        <v>52:ninti_riha_code:0</v>
      </c>
    </row>
    <row r="789" spans="1:35" s="109" customFormat="1" ht="18.75" customHeight="1" x14ac:dyDescent="0.2">
      <c r="A789" s="139"/>
      <c r="B789" s="123"/>
      <c r="C789" s="248"/>
      <c r="D789" s="249"/>
      <c r="E789" s="128"/>
      <c r="F789" s="142"/>
      <c r="G789" s="128"/>
      <c r="H789" s="242" t="s">
        <v>100</v>
      </c>
      <c r="I789" s="150" t="s">
        <v>383</v>
      </c>
      <c r="J789" s="169" t="s">
        <v>250</v>
      </c>
      <c r="K789" s="179"/>
      <c r="L789" s="203" t="s">
        <v>383</v>
      </c>
      <c r="M789" s="169" t="s">
        <v>267</v>
      </c>
      <c r="N789" s="158"/>
      <c r="O789" s="162"/>
      <c r="P789" s="162"/>
      <c r="Q789" s="162"/>
      <c r="R789" s="162"/>
      <c r="S789" s="162"/>
      <c r="T789" s="162"/>
      <c r="U789" s="162"/>
      <c r="V789" s="162"/>
      <c r="W789" s="162"/>
      <c r="X789" s="163"/>
      <c r="Y789" s="154"/>
      <c r="Z789" s="147"/>
      <c r="AA789" s="147"/>
      <c r="AB789" s="148"/>
      <c r="AC789" s="732"/>
      <c r="AD789" s="732"/>
      <c r="AE789" s="732"/>
      <c r="AF789" s="732"/>
      <c r="AI789" s="109" t="str">
        <f>"52:ninticare_code:" &amp; IF(I789="■",1,IF(L789="■",2,0))</f>
        <v>52:ninticare_code:0</v>
      </c>
    </row>
    <row r="790" spans="1:35" s="109" customFormat="1" ht="18.75" customHeight="1" x14ac:dyDescent="0.2">
      <c r="A790" s="139"/>
      <c r="B790" s="123"/>
      <c r="C790" s="248"/>
      <c r="D790" s="249"/>
      <c r="E790" s="128"/>
      <c r="F790" s="142"/>
      <c r="G790" s="128"/>
      <c r="H790" s="245" t="s">
        <v>140</v>
      </c>
      <c r="I790" s="150" t="s">
        <v>383</v>
      </c>
      <c r="J790" s="169" t="s">
        <v>250</v>
      </c>
      <c r="K790" s="179"/>
      <c r="L790" s="203" t="s">
        <v>383</v>
      </c>
      <c r="M790" s="169" t="s">
        <v>267</v>
      </c>
      <c r="N790" s="158"/>
      <c r="O790" s="162"/>
      <c r="P790" s="162"/>
      <c r="Q790" s="162"/>
      <c r="R790" s="162"/>
      <c r="S790" s="162"/>
      <c r="T790" s="162"/>
      <c r="U790" s="162"/>
      <c r="V790" s="162"/>
      <c r="W790" s="162"/>
      <c r="X790" s="163"/>
      <c r="Y790" s="154"/>
      <c r="Z790" s="147"/>
      <c r="AA790" s="147"/>
      <c r="AB790" s="148"/>
      <c r="AC790" s="732"/>
      <c r="AD790" s="732"/>
      <c r="AE790" s="732"/>
      <c r="AF790" s="732"/>
      <c r="AI790" s="109" t="str">
        <f>"52:jyakuninti_uke_code:" &amp; IF(I790="■",1,IF(L790="■",2,0))</f>
        <v>52:jyakuninti_uke_code:0</v>
      </c>
    </row>
    <row r="791" spans="1:35" s="109" customFormat="1" ht="18.75" customHeight="1" x14ac:dyDescent="0.2">
      <c r="A791" s="139"/>
      <c r="B791" s="123"/>
      <c r="C791" s="248"/>
      <c r="D791" s="249"/>
      <c r="E791" s="128"/>
      <c r="F791" s="142"/>
      <c r="G791" s="128"/>
      <c r="H791" s="242" t="s">
        <v>91</v>
      </c>
      <c r="I791" s="150" t="s">
        <v>383</v>
      </c>
      <c r="J791" s="169" t="s">
        <v>250</v>
      </c>
      <c r="K791" s="179"/>
      <c r="L791" s="203" t="s">
        <v>383</v>
      </c>
      <c r="M791" s="169" t="s">
        <v>267</v>
      </c>
      <c r="N791" s="158"/>
      <c r="O791" s="162"/>
      <c r="P791" s="162"/>
      <c r="Q791" s="162"/>
      <c r="R791" s="162"/>
      <c r="S791" s="162"/>
      <c r="T791" s="162"/>
      <c r="U791" s="162"/>
      <c r="V791" s="162"/>
      <c r="W791" s="162"/>
      <c r="X791" s="163"/>
      <c r="Y791" s="154"/>
      <c r="Z791" s="147"/>
      <c r="AA791" s="147"/>
      <c r="AB791" s="148"/>
      <c r="AC791" s="732"/>
      <c r="AD791" s="732"/>
      <c r="AE791" s="732"/>
      <c r="AF791" s="732"/>
      <c r="AI791" s="109" t="str">
        <f>"52:terminal_code:" &amp; IF(I791="■",1,IF(L791="■",2,0))</f>
        <v>52:terminal_code:0</v>
      </c>
    </row>
    <row r="792" spans="1:35" s="109" customFormat="1" ht="18.75" customHeight="1" x14ac:dyDescent="0.2">
      <c r="A792" s="139"/>
      <c r="B792" s="123"/>
      <c r="C792" s="248"/>
      <c r="D792" s="125" t="s">
        <v>383</v>
      </c>
      <c r="E792" s="128" t="s">
        <v>414</v>
      </c>
      <c r="F792" s="142"/>
      <c r="G792" s="128"/>
      <c r="H792" s="242" t="s">
        <v>121</v>
      </c>
      <c r="I792" s="156" t="s">
        <v>383</v>
      </c>
      <c r="J792" s="157" t="s">
        <v>320</v>
      </c>
      <c r="K792" s="157"/>
      <c r="L792" s="162"/>
      <c r="M792" s="162"/>
      <c r="N792" s="162"/>
      <c r="O792" s="162"/>
      <c r="P792" s="160" t="s">
        <v>383</v>
      </c>
      <c r="Q792" s="157" t="s">
        <v>321</v>
      </c>
      <c r="R792" s="162"/>
      <c r="S792" s="162"/>
      <c r="T792" s="162"/>
      <c r="U792" s="162"/>
      <c r="V792" s="162"/>
      <c r="W792" s="162"/>
      <c r="X792" s="163"/>
      <c r="Y792" s="154"/>
      <c r="Z792" s="147"/>
      <c r="AA792" s="147"/>
      <c r="AB792" s="148"/>
      <c r="AC792" s="732"/>
      <c r="AD792" s="732"/>
      <c r="AE792" s="732"/>
      <c r="AF792" s="732"/>
      <c r="AI792" s="109" t="str">
        <f>"52:" &amp; IF(AND(I792="□",P792="□"),"tokusin_jyusho_code:0:tokusin_yakuzai_code:0",IF(I792="■","tokusin_jyusho_code:2","tokusin_jyusho_code:1")
&amp;IF(P792="■",":tokusin_yakuzai_code:2",":tokusin_yakuzai_code:1"))</f>
        <v>52:tokusin_jyusho_code:0:tokusin_yakuzai_code:0</v>
      </c>
    </row>
    <row r="793" spans="1:35" s="109" customFormat="1" ht="18.75" customHeight="1" x14ac:dyDescent="0.2">
      <c r="A793" s="125" t="s">
        <v>383</v>
      </c>
      <c r="B793" s="123">
        <v>52</v>
      </c>
      <c r="C793" s="248" t="s">
        <v>417</v>
      </c>
      <c r="D793" s="125" t="s">
        <v>383</v>
      </c>
      <c r="E793" s="128" t="s">
        <v>416</v>
      </c>
      <c r="F793" s="142"/>
      <c r="G793" s="128"/>
      <c r="H793" s="242" t="s">
        <v>174</v>
      </c>
      <c r="I793" s="150" t="s">
        <v>383</v>
      </c>
      <c r="J793" s="169" t="s">
        <v>250</v>
      </c>
      <c r="K793" s="179"/>
      <c r="L793" s="203" t="s">
        <v>383</v>
      </c>
      <c r="M793" s="169" t="s">
        <v>267</v>
      </c>
      <c r="N793" s="158"/>
      <c r="O793" s="207"/>
      <c r="P793" s="207"/>
      <c r="Q793" s="207"/>
      <c r="R793" s="207"/>
      <c r="S793" s="207"/>
      <c r="T793" s="207"/>
      <c r="U793" s="207"/>
      <c r="V793" s="207"/>
      <c r="W793" s="207"/>
      <c r="X793" s="208"/>
      <c r="Y793" s="154"/>
      <c r="Z793" s="147"/>
      <c r="AA793" s="147"/>
      <c r="AB793" s="148"/>
      <c r="AC793" s="732"/>
      <c r="AD793" s="732"/>
      <c r="AE793" s="732"/>
      <c r="AF793" s="732"/>
      <c r="AI793" s="109" t="str">
        <f>"52:field198:" &amp; IF(I793="■",1,IF(L793="■",2,0))</f>
        <v>52:field198:0</v>
      </c>
    </row>
    <row r="794" spans="1:35" s="109" customFormat="1" ht="18.75" customHeight="1" x14ac:dyDescent="0.2">
      <c r="A794" s="139"/>
      <c r="B794" s="123"/>
      <c r="C794" s="248"/>
      <c r="D794" s="139"/>
      <c r="E794" s="128"/>
      <c r="F794" s="142"/>
      <c r="G794" s="128"/>
      <c r="H794" s="242" t="s">
        <v>178</v>
      </c>
      <c r="I794" s="150" t="s">
        <v>383</v>
      </c>
      <c r="J794" s="169" t="s">
        <v>250</v>
      </c>
      <c r="K794" s="179"/>
      <c r="L794" s="203" t="s">
        <v>383</v>
      </c>
      <c r="M794" s="169" t="s">
        <v>267</v>
      </c>
      <c r="N794" s="158"/>
      <c r="O794" s="207"/>
      <c r="P794" s="207"/>
      <c r="Q794" s="207"/>
      <c r="R794" s="207"/>
      <c r="S794" s="207"/>
      <c r="T794" s="207"/>
      <c r="U794" s="207"/>
      <c r="V794" s="207"/>
      <c r="W794" s="207"/>
      <c r="X794" s="208"/>
      <c r="Y794" s="154"/>
      <c r="Z794" s="147"/>
      <c r="AA794" s="147"/>
      <c r="AB794" s="148"/>
      <c r="AC794" s="732"/>
      <c r="AD794" s="732"/>
      <c r="AE794" s="732"/>
      <c r="AF794" s="732"/>
      <c r="AI794" s="109" t="str">
        <f>"52:field199:" &amp; IF(I794="■",1,IF(L794="■",2,0))</f>
        <v>52:field199:0</v>
      </c>
    </row>
    <row r="795" spans="1:35" s="109" customFormat="1" ht="18.75" customHeight="1" x14ac:dyDescent="0.2">
      <c r="A795" s="139"/>
      <c r="B795" s="123"/>
      <c r="C795" s="248"/>
      <c r="D795" s="139"/>
      <c r="E795" s="128"/>
      <c r="F795" s="142"/>
      <c r="G795" s="128"/>
      <c r="H795" s="242" t="s">
        <v>199</v>
      </c>
      <c r="I795" s="150" t="s">
        <v>383</v>
      </c>
      <c r="J795" s="169" t="s">
        <v>250</v>
      </c>
      <c r="K795" s="179"/>
      <c r="L795" s="203" t="s">
        <v>383</v>
      </c>
      <c r="M795" s="169" t="s">
        <v>267</v>
      </c>
      <c r="N795" s="158"/>
      <c r="O795" s="162"/>
      <c r="P795" s="162"/>
      <c r="Q795" s="162"/>
      <c r="R795" s="162"/>
      <c r="S795" s="162"/>
      <c r="T795" s="162"/>
      <c r="U795" s="162"/>
      <c r="V795" s="162"/>
      <c r="W795" s="162"/>
      <c r="X795" s="163"/>
      <c r="Y795" s="154"/>
      <c r="Z795" s="147"/>
      <c r="AA795" s="147"/>
      <c r="AB795" s="148"/>
      <c r="AC795" s="732"/>
      <c r="AD795" s="732"/>
      <c r="AE795" s="732"/>
      <c r="AF795" s="732"/>
      <c r="AI795" s="109" t="str">
        <f>"52:field207:" &amp; IF(I795="■",1,IF(L795="■",2,0))</f>
        <v>52:field207:0</v>
      </c>
    </row>
    <row r="796" spans="1:35" s="109" customFormat="1" ht="18.75" customHeight="1" x14ac:dyDescent="0.2">
      <c r="A796" s="139"/>
      <c r="B796" s="123"/>
      <c r="C796" s="248"/>
      <c r="D796" s="139"/>
      <c r="E796" s="128"/>
      <c r="F796" s="142"/>
      <c r="G796" s="128"/>
      <c r="H796" s="242" t="s">
        <v>112</v>
      </c>
      <c r="I796" s="150" t="s">
        <v>383</v>
      </c>
      <c r="J796" s="169" t="s">
        <v>250</v>
      </c>
      <c r="K796" s="179"/>
      <c r="L796" s="203" t="s">
        <v>383</v>
      </c>
      <c r="M796" s="169" t="s">
        <v>267</v>
      </c>
      <c r="N796" s="158"/>
      <c r="O796" s="162"/>
      <c r="P796" s="162"/>
      <c r="Q796" s="162"/>
      <c r="R796" s="162"/>
      <c r="S796" s="162"/>
      <c r="T796" s="162"/>
      <c r="U796" s="162"/>
      <c r="V796" s="162"/>
      <c r="W796" s="162"/>
      <c r="X796" s="163"/>
      <c r="Y796" s="154"/>
      <c r="Z796" s="147"/>
      <c r="AA796" s="147"/>
      <c r="AB796" s="148"/>
      <c r="AC796" s="732"/>
      <c r="AD796" s="732"/>
      <c r="AE796" s="732"/>
      <c r="AF796" s="732"/>
      <c r="AI796" s="109" t="str">
        <f>"52:ryouyoushoku_code:" &amp; IF(I796="■",1,IF(L796="■",2,0))</f>
        <v>52:ryouyoushoku_code:0</v>
      </c>
    </row>
    <row r="797" spans="1:35" s="109" customFormat="1" ht="18.75" customHeight="1" x14ac:dyDescent="0.2">
      <c r="A797" s="139"/>
      <c r="B797" s="123"/>
      <c r="C797" s="248"/>
      <c r="D797" s="249"/>
      <c r="E797" s="128"/>
      <c r="F797" s="142"/>
      <c r="G797" s="128"/>
      <c r="H797" s="242" t="s">
        <v>116</v>
      </c>
      <c r="I797" s="156" t="s">
        <v>383</v>
      </c>
      <c r="J797" s="157" t="s">
        <v>250</v>
      </c>
      <c r="K797" s="157"/>
      <c r="L797" s="160" t="s">
        <v>383</v>
      </c>
      <c r="M797" s="157" t="s">
        <v>251</v>
      </c>
      <c r="N797" s="157"/>
      <c r="O797" s="160" t="s">
        <v>383</v>
      </c>
      <c r="P797" s="157" t="s">
        <v>252</v>
      </c>
      <c r="Q797" s="162"/>
      <c r="R797" s="162"/>
      <c r="S797" s="162"/>
      <c r="T797" s="162"/>
      <c r="U797" s="162"/>
      <c r="V797" s="162"/>
      <c r="W797" s="162"/>
      <c r="X797" s="163"/>
      <c r="Y797" s="154"/>
      <c r="Z797" s="147"/>
      <c r="AA797" s="147"/>
      <c r="AB797" s="148"/>
      <c r="AC797" s="732"/>
      <c r="AD797" s="732"/>
      <c r="AE797" s="732"/>
      <c r="AF797" s="732"/>
      <c r="AI797" s="109" t="str">
        <f>"52:ninti_senmoncare_code:" &amp; IF(I797="■",1,IF(O797="■",3,IF(L797="■",2,0)))</f>
        <v>52:ninti_senmoncare_code:0</v>
      </c>
    </row>
    <row r="798" spans="1:35" s="109" customFormat="1" ht="18.75" customHeight="1" x14ac:dyDescent="0.2">
      <c r="A798" s="139"/>
      <c r="B798" s="123"/>
      <c r="C798" s="248"/>
      <c r="D798" s="249"/>
      <c r="E798" s="128"/>
      <c r="F798" s="142"/>
      <c r="G798" s="128"/>
      <c r="H798" s="242" t="s">
        <v>447</v>
      </c>
      <c r="I798" s="156" t="s">
        <v>383</v>
      </c>
      <c r="J798" s="157" t="s">
        <v>250</v>
      </c>
      <c r="K798" s="157"/>
      <c r="L798" s="160" t="s">
        <v>383</v>
      </c>
      <c r="M798" s="157" t="s">
        <v>251</v>
      </c>
      <c r="N798" s="157"/>
      <c r="O798" s="160" t="s">
        <v>383</v>
      </c>
      <c r="P798" s="157" t="s">
        <v>252</v>
      </c>
      <c r="Q798" s="158"/>
      <c r="R798" s="158"/>
      <c r="S798" s="158"/>
      <c r="T798" s="158"/>
      <c r="U798" s="158"/>
      <c r="V798" s="158"/>
      <c r="W798" s="158"/>
      <c r="X798" s="166"/>
      <c r="Y798" s="154"/>
      <c r="Z798" s="147"/>
      <c r="AA798" s="147"/>
      <c r="AB798" s="148"/>
      <c r="AC798" s="732"/>
      <c r="AD798" s="732"/>
      <c r="AE798" s="732"/>
      <c r="AF798" s="732"/>
      <c r="AI798" s="109" t="str">
        <f>"52:field228:" &amp; IF(I798="■",1,IF(L798="■",2,IF(O798="■",3,0)))</f>
        <v>52:field228:0</v>
      </c>
    </row>
    <row r="799" spans="1:35" s="109" customFormat="1" ht="18.75" customHeight="1" x14ac:dyDescent="0.2">
      <c r="A799" s="139"/>
      <c r="B799" s="123"/>
      <c r="C799" s="248"/>
      <c r="D799" s="249"/>
      <c r="E799" s="128"/>
      <c r="F799" s="142"/>
      <c r="G799" s="128"/>
      <c r="H799" s="741" t="s">
        <v>103</v>
      </c>
      <c r="I799" s="175" t="s">
        <v>383</v>
      </c>
      <c r="J799" s="168" t="s">
        <v>409</v>
      </c>
      <c r="K799" s="181"/>
      <c r="L799" s="168"/>
      <c r="M799" s="168"/>
      <c r="N799" s="168"/>
      <c r="O799" s="251"/>
      <c r="P799" s="251"/>
      <c r="Q799" s="206" t="s">
        <v>383</v>
      </c>
      <c r="R799" s="168" t="s">
        <v>410</v>
      </c>
      <c r="S799" s="172"/>
      <c r="T799" s="172"/>
      <c r="U799" s="172"/>
      <c r="V799" s="172"/>
      <c r="W799" s="172"/>
      <c r="X799" s="209"/>
      <c r="Y799" s="154"/>
      <c r="Z799" s="147"/>
      <c r="AA799" s="147"/>
      <c r="AB799" s="148"/>
      <c r="AC799" s="732"/>
      <c r="AD799" s="732"/>
      <c r="AE799" s="732"/>
      <c r="AF799" s="732"/>
      <c r="AI799" s="109" t="str">
        <f>"52:"&amp;IF(AND(I799="□",Q799="□",I800="□",Q800="□"),"koriha_rihasido_code:0:koriha_gengo_code:0:riha_seisin_code:0:koriha_other_code:0",IF(I799="■","koriha_rihasido_code:2","koriha_rihasido_code:1")
&amp;IF(Q799="■",":koriha_gengo_code:2",":koriha_gengo_code:1")
&amp;IF(I800="■",":riha_seisin_code:2",":riha_seisin_code:1")
&amp;IF(Q800="■",":koriha_other_code:2",":koriha_other_code:1"))</f>
        <v>52:koriha_rihasido_code:0:koriha_gengo_code:0:riha_seisin_code:0:koriha_other_code:0</v>
      </c>
    </row>
    <row r="800" spans="1:35" s="109" customFormat="1" ht="18.75" customHeight="1" x14ac:dyDescent="0.2">
      <c r="A800" s="139"/>
      <c r="B800" s="123"/>
      <c r="C800" s="248"/>
      <c r="D800" s="249"/>
      <c r="E800" s="128"/>
      <c r="F800" s="142"/>
      <c r="G800" s="128"/>
      <c r="H800" s="742"/>
      <c r="I800" s="150" t="s">
        <v>383</v>
      </c>
      <c r="J800" s="169" t="s">
        <v>411</v>
      </c>
      <c r="K800" s="152"/>
      <c r="L800" s="168"/>
      <c r="M800" s="152"/>
      <c r="N800" s="152"/>
      <c r="O800" s="152"/>
      <c r="P800" s="152"/>
      <c r="Q800" s="203" t="s">
        <v>383</v>
      </c>
      <c r="R800" s="169" t="s">
        <v>412</v>
      </c>
      <c r="S800" s="151"/>
      <c r="T800" s="151"/>
      <c r="U800" s="151"/>
      <c r="V800" s="151"/>
      <c r="W800" s="151"/>
      <c r="X800" s="238"/>
      <c r="Y800" s="154"/>
      <c r="Z800" s="147"/>
      <c r="AA800" s="147"/>
      <c r="AB800" s="148"/>
      <c r="AC800" s="732"/>
      <c r="AD800" s="732"/>
      <c r="AE800" s="732"/>
      <c r="AF800" s="732"/>
    </row>
    <row r="801" spans="1:36" s="109" customFormat="1" ht="18.75" customHeight="1" x14ac:dyDescent="0.2">
      <c r="A801" s="139"/>
      <c r="B801" s="123"/>
      <c r="C801" s="248"/>
      <c r="D801" s="249"/>
      <c r="E801" s="128"/>
      <c r="F801" s="142"/>
      <c r="G801" s="128"/>
      <c r="H801" s="239" t="s">
        <v>226</v>
      </c>
      <c r="I801" s="150" t="s">
        <v>383</v>
      </c>
      <c r="J801" s="169" t="s">
        <v>250</v>
      </c>
      <c r="K801" s="179"/>
      <c r="L801" s="160" t="s">
        <v>383</v>
      </c>
      <c r="M801" s="157" t="s">
        <v>268</v>
      </c>
      <c r="N801" s="157"/>
      <c r="O801" s="160" t="s">
        <v>383</v>
      </c>
      <c r="P801" s="157" t="s">
        <v>269</v>
      </c>
      <c r="Q801" s="158"/>
      <c r="R801" s="158"/>
      <c r="S801" s="158"/>
      <c r="T801" s="158"/>
      <c r="U801" s="158"/>
      <c r="V801" s="158"/>
      <c r="W801" s="158"/>
      <c r="X801" s="166"/>
      <c r="Y801" s="154"/>
      <c r="Z801" s="147"/>
      <c r="AA801" s="147"/>
      <c r="AB801" s="148"/>
      <c r="AC801" s="732"/>
      <c r="AD801" s="732"/>
      <c r="AE801" s="732"/>
      <c r="AF801" s="732"/>
      <c r="AI801" s="109" t="str">
        <f>"52:field216:" &amp; IF(I801="■",1,IF(L801="■",3,IF(O801="■",2,0)))</f>
        <v>52:field216:0</v>
      </c>
    </row>
    <row r="802" spans="1:36" s="109" customFormat="1" ht="18.75" customHeight="1" x14ac:dyDescent="0.2">
      <c r="A802" s="139"/>
      <c r="B802" s="123"/>
      <c r="C802" s="248"/>
      <c r="D802" s="249"/>
      <c r="E802" s="128"/>
      <c r="F802" s="142"/>
      <c r="G802" s="128"/>
      <c r="H802" s="239" t="s">
        <v>198</v>
      </c>
      <c r="I802" s="150" t="s">
        <v>383</v>
      </c>
      <c r="J802" s="169" t="s">
        <v>250</v>
      </c>
      <c r="K802" s="179"/>
      <c r="L802" s="203" t="s">
        <v>383</v>
      </c>
      <c r="M802" s="169" t="s">
        <v>267</v>
      </c>
      <c r="N802" s="158"/>
      <c r="O802" s="162"/>
      <c r="P802" s="162"/>
      <c r="Q802" s="162"/>
      <c r="R802" s="162"/>
      <c r="S802" s="162"/>
      <c r="T802" s="162"/>
      <c r="U802" s="162"/>
      <c r="V802" s="162"/>
      <c r="W802" s="162"/>
      <c r="X802" s="163"/>
      <c r="Y802" s="154"/>
      <c r="Z802" s="147"/>
      <c r="AA802" s="147"/>
      <c r="AB802" s="148"/>
      <c r="AC802" s="732"/>
      <c r="AD802" s="732"/>
      <c r="AE802" s="732"/>
      <c r="AF802" s="732"/>
      <c r="AI802" s="109" t="str">
        <f>"52:field210:" &amp; IF(I802="■",1,IF(L802="■",2,0))</f>
        <v>52:field210:0</v>
      </c>
    </row>
    <row r="803" spans="1:36" s="109" customFormat="1" ht="18.75" customHeight="1" x14ac:dyDescent="0.2">
      <c r="A803" s="139"/>
      <c r="B803" s="123"/>
      <c r="C803" s="248"/>
      <c r="D803" s="249"/>
      <c r="E803" s="128"/>
      <c r="F803" s="142"/>
      <c r="G803" s="128"/>
      <c r="H803" s="242" t="s">
        <v>225</v>
      </c>
      <c r="I803" s="150" t="s">
        <v>383</v>
      </c>
      <c r="J803" s="169" t="s">
        <v>250</v>
      </c>
      <c r="K803" s="179"/>
      <c r="L803" s="203" t="s">
        <v>383</v>
      </c>
      <c r="M803" s="169" t="s">
        <v>267</v>
      </c>
      <c r="N803" s="158"/>
      <c r="O803" s="162"/>
      <c r="P803" s="162"/>
      <c r="Q803" s="162"/>
      <c r="R803" s="162"/>
      <c r="S803" s="162"/>
      <c r="T803" s="162"/>
      <c r="U803" s="162"/>
      <c r="V803" s="162"/>
      <c r="W803" s="162"/>
      <c r="X803" s="163"/>
      <c r="Y803" s="154"/>
      <c r="Z803" s="147"/>
      <c r="AA803" s="147"/>
      <c r="AB803" s="148"/>
      <c r="AC803" s="732"/>
      <c r="AD803" s="732"/>
      <c r="AE803" s="732"/>
      <c r="AF803" s="732"/>
      <c r="AI803" s="109" t="str">
        <f>"52:field211:" &amp; IF(I803="■",1,IF(L803="■",2,0))</f>
        <v>52:field211:0</v>
      </c>
    </row>
    <row r="804" spans="1:36" s="109" customFormat="1" ht="18.75" customHeight="1" x14ac:dyDescent="0.2">
      <c r="A804" s="139"/>
      <c r="B804" s="123"/>
      <c r="C804" s="248"/>
      <c r="D804" s="249"/>
      <c r="E804" s="128"/>
      <c r="F804" s="142"/>
      <c r="G804" s="128"/>
      <c r="H804" s="242" t="s">
        <v>197</v>
      </c>
      <c r="I804" s="150" t="s">
        <v>383</v>
      </c>
      <c r="J804" s="169" t="s">
        <v>250</v>
      </c>
      <c r="K804" s="179"/>
      <c r="L804" s="203" t="s">
        <v>383</v>
      </c>
      <c r="M804" s="169" t="s">
        <v>267</v>
      </c>
      <c r="N804" s="158"/>
      <c r="O804" s="162"/>
      <c r="P804" s="162"/>
      <c r="Q804" s="162"/>
      <c r="R804" s="162"/>
      <c r="S804" s="162"/>
      <c r="T804" s="162"/>
      <c r="U804" s="162"/>
      <c r="V804" s="162"/>
      <c r="W804" s="162"/>
      <c r="X804" s="163"/>
      <c r="Y804" s="154"/>
      <c r="Z804" s="147"/>
      <c r="AA804" s="147"/>
      <c r="AB804" s="148"/>
      <c r="AC804" s="732"/>
      <c r="AD804" s="732"/>
      <c r="AE804" s="732"/>
      <c r="AF804" s="732"/>
      <c r="AI804" s="109" t="str">
        <f>"52:field212:" &amp; IF(I804="■",1,IF(L804="■",2,0))</f>
        <v>52:field212:0</v>
      </c>
    </row>
    <row r="805" spans="1:36" s="109" customFormat="1" ht="18.75" customHeight="1" x14ac:dyDescent="0.2">
      <c r="A805" s="139"/>
      <c r="B805" s="123"/>
      <c r="C805" s="248"/>
      <c r="D805" s="249"/>
      <c r="E805" s="128"/>
      <c r="F805" s="142"/>
      <c r="G805" s="128"/>
      <c r="H805" s="242" t="s">
        <v>206</v>
      </c>
      <c r="I805" s="150" t="s">
        <v>383</v>
      </c>
      <c r="J805" s="169" t="s">
        <v>250</v>
      </c>
      <c r="K805" s="179"/>
      <c r="L805" s="203" t="s">
        <v>383</v>
      </c>
      <c r="M805" s="169" t="s">
        <v>267</v>
      </c>
      <c r="N805" s="158"/>
      <c r="O805" s="162"/>
      <c r="P805" s="162"/>
      <c r="Q805" s="162"/>
      <c r="R805" s="162"/>
      <c r="S805" s="162"/>
      <c r="T805" s="162"/>
      <c r="U805" s="162"/>
      <c r="V805" s="162"/>
      <c r="W805" s="162"/>
      <c r="X805" s="163"/>
      <c r="Y805" s="154"/>
      <c r="Z805" s="147"/>
      <c r="AA805" s="147"/>
      <c r="AB805" s="148"/>
      <c r="AC805" s="732"/>
      <c r="AD805" s="732"/>
      <c r="AE805" s="732"/>
      <c r="AF805" s="732"/>
      <c r="AI805" s="109" t="str">
        <f>"52:field209:" &amp; IF(I805="■",1,IF(L805="■",2,0))</f>
        <v>52:field209:0</v>
      </c>
    </row>
    <row r="806" spans="1:36" s="109" customFormat="1" ht="18.75" customHeight="1" x14ac:dyDescent="0.2">
      <c r="A806" s="139"/>
      <c r="B806" s="123"/>
      <c r="C806" s="248"/>
      <c r="D806" s="249"/>
      <c r="E806" s="128"/>
      <c r="F806" s="142"/>
      <c r="G806" s="128"/>
      <c r="H806" s="242" t="s">
        <v>461</v>
      </c>
      <c r="I806" s="156" t="s">
        <v>383</v>
      </c>
      <c r="J806" s="157" t="s">
        <v>250</v>
      </c>
      <c r="K806" s="157"/>
      <c r="L806" s="160" t="s">
        <v>383</v>
      </c>
      <c r="M806" s="169" t="s">
        <v>267</v>
      </c>
      <c r="N806" s="157"/>
      <c r="O806" s="157"/>
      <c r="P806" s="157"/>
      <c r="Q806" s="158"/>
      <c r="R806" s="158"/>
      <c r="S806" s="158"/>
      <c r="T806" s="158"/>
      <c r="U806" s="158"/>
      <c r="V806" s="158"/>
      <c r="W806" s="158"/>
      <c r="X806" s="166"/>
      <c r="Y806" s="154"/>
      <c r="Z806" s="147"/>
      <c r="AA806" s="147"/>
      <c r="AB806" s="148"/>
      <c r="AC806" s="732"/>
      <c r="AD806" s="732"/>
      <c r="AE806" s="732"/>
      <c r="AF806" s="732"/>
      <c r="AI806" s="109" t="str">
        <f>"52:field226:" &amp; IF(I806="■",1,IF(L806="■",2,0))</f>
        <v>52:field226:0</v>
      </c>
    </row>
    <row r="807" spans="1:36" s="109" customFormat="1" ht="18.75" customHeight="1" x14ac:dyDescent="0.2">
      <c r="A807" s="139"/>
      <c r="B807" s="123"/>
      <c r="C807" s="248"/>
      <c r="D807" s="249"/>
      <c r="E807" s="128"/>
      <c r="F807" s="142"/>
      <c r="G807" s="128"/>
      <c r="H807" s="242" t="s">
        <v>462</v>
      </c>
      <c r="I807" s="156" t="s">
        <v>383</v>
      </c>
      <c r="J807" s="157" t="s">
        <v>250</v>
      </c>
      <c r="K807" s="157"/>
      <c r="L807" s="160" t="s">
        <v>383</v>
      </c>
      <c r="M807" s="169" t="s">
        <v>267</v>
      </c>
      <c r="N807" s="157"/>
      <c r="O807" s="157"/>
      <c r="P807" s="157"/>
      <c r="Q807" s="158"/>
      <c r="R807" s="158"/>
      <c r="S807" s="158"/>
      <c r="T807" s="158"/>
      <c r="U807" s="158"/>
      <c r="V807" s="158"/>
      <c r="W807" s="158"/>
      <c r="X807" s="166"/>
      <c r="Y807" s="154"/>
      <c r="Z807" s="147"/>
      <c r="AA807" s="147"/>
      <c r="AB807" s="148"/>
      <c r="AC807" s="732"/>
      <c r="AD807" s="732"/>
      <c r="AE807" s="732"/>
      <c r="AF807" s="732"/>
      <c r="AI807" s="109" t="str">
        <f>"52:field227:" &amp; IF(I807="■",1,IF(L807="■",2,0))</f>
        <v>52:field227:0</v>
      </c>
    </row>
    <row r="808" spans="1:36" s="109" customFormat="1" ht="18.75" customHeight="1" x14ac:dyDescent="0.2">
      <c r="A808" s="139"/>
      <c r="B808" s="123"/>
      <c r="C808" s="248"/>
      <c r="D808" s="249"/>
      <c r="E808" s="128"/>
      <c r="F808" s="142"/>
      <c r="G808" s="128"/>
      <c r="H808" s="250" t="s">
        <v>442</v>
      </c>
      <c r="I808" s="156" t="s">
        <v>383</v>
      </c>
      <c r="J808" s="157" t="s">
        <v>250</v>
      </c>
      <c r="K808" s="157"/>
      <c r="L808" s="160" t="s">
        <v>383</v>
      </c>
      <c r="M808" s="157" t="s">
        <v>251</v>
      </c>
      <c r="N808" s="157"/>
      <c r="O808" s="160" t="s">
        <v>383</v>
      </c>
      <c r="P808" s="157" t="s">
        <v>252</v>
      </c>
      <c r="Q808" s="162"/>
      <c r="R808" s="162"/>
      <c r="S808" s="162"/>
      <c r="T808" s="162"/>
      <c r="U808" s="251"/>
      <c r="V808" s="251"/>
      <c r="W808" s="251"/>
      <c r="X808" s="252"/>
      <c r="Y808" s="154"/>
      <c r="Z808" s="147"/>
      <c r="AA808" s="147"/>
      <c r="AB808" s="148"/>
      <c r="AC808" s="732"/>
      <c r="AD808" s="732"/>
      <c r="AE808" s="732"/>
      <c r="AF808" s="732"/>
      <c r="AI808" s="109" t="str">
        <f>"52:field225:" &amp; IF(I808="■",1,IF(L808="■",2,IF(O808="■",3,0)))</f>
        <v>52:field225:0</v>
      </c>
    </row>
    <row r="809" spans="1:36" s="109" customFormat="1" ht="18.75" customHeight="1" x14ac:dyDescent="0.2">
      <c r="A809" s="139"/>
      <c r="B809" s="123"/>
      <c r="C809" s="248"/>
      <c r="D809" s="249"/>
      <c r="E809" s="128"/>
      <c r="F809" s="142"/>
      <c r="G809" s="128"/>
      <c r="H809" s="242" t="s">
        <v>118</v>
      </c>
      <c r="I809" s="156" t="s">
        <v>383</v>
      </c>
      <c r="J809" s="157" t="s">
        <v>250</v>
      </c>
      <c r="K809" s="157"/>
      <c r="L809" s="160" t="s">
        <v>383</v>
      </c>
      <c r="M809" s="157" t="s">
        <v>258</v>
      </c>
      <c r="N809" s="157"/>
      <c r="O809" s="160" t="s">
        <v>383</v>
      </c>
      <c r="P809" s="157" t="s">
        <v>259</v>
      </c>
      <c r="Q809" s="207"/>
      <c r="R809" s="160" t="s">
        <v>383</v>
      </c>
      <c r="S809" s="157" t="s">
        <v>283</v>
      </c>
      <c r="T809" s="157"/>
      <c r="U809" s="207"/>
      <c r="V809" s="207"/>
      <c r="W809" s="207"/>
      <c r="X809" s="208"/>
      <c r="Y809" s="154"/>
      <c r="Z809" s="147"/>
      <c r="AA809" s="147"/>
      <c r="AB809" s="148"/>
      <c r="AC809" s="732"/>
      <c r="AD809" s="732"/>
      <c r="AE809" s="732"/>
      <c r="AF809" s="732"/>
      <c r="AI809" s="109" t="str">
        <f>"52:serteikyo_kyoka_code:" &amp; IF(I809="■",1,IF(L809="■",6,IF(O809="■",5,IF(R809="■",7,0))))</f>
        <v>52:serteikyo_kyoka_code:0</v>
      </c>
    </row>
    <row r="810" spans="1:36" s="621" customFormat="1" ht="18.75" customHeight="1" x14ac:dyDescent="0.2">
      <c r="A810" s="139"/>
      <c r="B810" s="670"/>
      <c r="C810" s="248"/>
      <c r="D810" s="249"/>
      <c r="E810" s="128"/>
      <c r="F810" s="142"/>
      <c r="G810" s="143"/>
      <c r="H810" s="713" t="s">
        <v>790</v>
      </c>
      <c r="I810" s="642" t="s">
        <v>383</v>
      </c>
      <c r="J810" s="616" t="s">
        <v>627</v>
      </c>
      <c r="K810" s="616"/>
      <c r="L810" s="615"/>
      <c r="M810" s="644" t="s">
        <v>383</v>
      </c>
      <c r="N810" s="616" t="s">
        <v>791</v>
      </c>
      <c r="O810" s="617"/>
      <c r="P810" s="615"/>
      <c r="Q810" s="644" t="s">
        <v>383</v>
      </c>
      <c r="R810" s="618" t="s">
        <v>802</v>
      </c>
      <c r="S810" s="615"/>
      <c r="T810" s="615"/>
      <c r="U810" s="615"/>
      <c r="V810" s="618"/>
      <c r="W810" s="619"/>
      <c r="X810" s="620"/>
      <c r="Y810" s="154"/>
      <c r="Z810" s="147"/>
      <c r="AA810" s="147"/>
      <c r="AB810" s="148"/>
      <c r="AC810" s="733"/>
      <c r="AD810" s="733"/>
      <c r="AE810" s="733"/>
      <c r="AF810" s="733"/>
    </row>
    <row r="811" spans="1:36" s="621" customFormat="1" ht="18.75" customHeight="1" x14ac:dyDescent="0.2">
      <c r="A811" s="139"/>
      <c r="B811" s="670"/>
      <c r="C811" s="248"/>
      <c r="D811" s="249"/>
      <c r="E811" s="128"/>
      <c r="F811" s="142"/>
      <c r="G811" s="143"/>
      <c r="H811" s="714"/>
      <c r="I811" s="643" t="s">
        <v>383</v>
      </c>
      <c r="J811" s="623" t="s">
        <v>803</v>
      </c>
      <c r="K811" s="623"/>
      <c r="L811" s="622"/>
      <c r="M811" s="211" t="s">
        <v>383</v>
      </c>
      <c r="N811" s="623" t="s">
        <v>804</v>
      </c>
      <c r="O811" s="624"/>
      <c r="P811" s="622"/>
      <c r="Q811" s="211" t="s">
        <v>383</v>
      </c>
      <c r="R811" s="623" t="s">
        <v>795</v>
      </c>
      <c r="S811" s="622"/>
      <c r="T811" s="623"/>
      <c r="U811" s="211" t="s">
        <v>383</v>
      </c>
      <c r="V811" s="623" t="s">
        <v>796</v>
      </c>
      <c r="W811" s="625"/>
      <c r="X811" s="626"/>
      <c r="Y811" s="154"/>
      <c r="Z811" s="147"/>
      <c r="AA811" s="147"/>
      <c r="AB811" s="148"/>
      <c r="AC811" s="733"/>
      <c r="AD811" s="733"/>
      <c r="AE811" s="733"/>
      <c r="AF811" s="733"/>
    </row>
    <row r="812" spans="1:36" s="109" customFormat="1" ht="18.75" customHeight="1" x14ac:dyDescent="0.2">
      <c r="A812" s="129"/>
      <c r="B812" s="116"/>
      <c r="C812" s="272"/>
      <c r="D812" s="273"/>
      <c r="E812" s="121"/>
      <c r="F812" s="132"/>
      <c r="G812" s="121"/>
      <c r="H812" s="386" t="s">
        <v>97</v>
      </c>
      <c r="I812" s="387" t="s">
        <v>383</v>
      </c>
      <c r="J812" s="388" t="s">
        <v>300</v>
      </c>
      <c r="K812" s="389"/>
      <c r="L812" s="390"/>
      <c r="M812" s="391" t="s">
        <v>383</v>
      </c>
      <c r="N812" s="388" t="s">
        <v>301</v>
      </c>
      <c r="O812" s="392"/>
      <c r="P812" s="392"/>
      <c r="Q812" s="392"/>
      <c r="R812" s="392"/>
      <c r="S812" s="392"/>
      <c r="T812" s="392"/>
      <c r="U812" s="392"/>
      <c r="V812" s="392"/>
      <c r="W812" s="392"/>
      <c r="X812" s="393"/>
      <c r="Y812" s="447" t="s">
        <v>383</v>
      </c>
      <c r="Z812" s="119" t="s">
        <v>249</v>
      </c>
      <c r="AA812" s="119"/>
      <c r="AB812" s="137"/>
      <c r="AC812" s="730"/>
      <c r="AD812" s="730"/>
      <c r="AE812" s="730"/>
      <c r="AF812" s="730"/>
      <c r="AG812" s="109" t="str">
        <f>"ser_code = '" &amp; IF(A823="■",52,"") &amp; "'"</f>
        <v>ser_code = ''</v>
      </c>
      <c r="AI812" s="109" t="str">
        <f>"52:yakan_kinmu_code:" &amp; IF(I812="■",1,IF(M812="■",6,0))</f>
        <v>52:yakan_kinmu_code:0</v>
      </c>
      <c r="AJ812" s="109" t="str">
        <f>"52:field203:" &amp; IF(Y812="■",1,IF(Y813="■",2,0))</f>
        <v>52:field203:0</v>
      </c>
    </row>
    <row r="813" spans="1:36" s="109" customFormat="1" ht="18.75" customHeight="1" x14ac:dyDescent="0.2">
      <c r="A813" s="139"/>
      <c r="B813" s="123"/>
      <c r="C813" s="248"/>
      <c r="D813" s="249"/>
      <c r="E813" s="128"/>
      <c r="F813" s="142"/>
      <c r="G813" s="128"/>
      <c r="H813" s="767" t="s">
        <v>93</v>
      </c>
      <c r="I813" s="394" t="s">
        <v>383</v>
      </c>
      <c r="J813" s="395" t="s">
        <v>250</v>
      </c>
      <c r="K813" s="395"/>
      <c r="L813" s="398"/>
      <c r="M813" s="397" t="s">
        <v>383</v>
      </c>
      <c r="N813" s="395" t="s">
        <v>289</v>
      </c>
      <c r="O813" s="395"/>
      <c r="P813" s="398"/>
      <c r="Q813" s="397" t="s">
        <v>383</v>
      </c>
      <c r="R813" s="398" t="s">
        <v>290</v>
      </c>
      <c r="S813" s="398"/>
      <c r="T813" s="398"/>
      <c r="U813" s="397" t="s">
        <v>383</v>
      </c>
      <c r="V813" s="398" t="s">
        <v>291</v>
      </c>
      <c r="W813" s="398"/>
      <c r="X813" s="399"/>
      <c r="Y813" s="469" t="s">
        <v>383</v>
      </c>
      <c r="Z813" s="126" t="s">
        <v>255</v>
      </c>
      <c r="AA813" s="147"/>
      <c r="AB813" s="148"/>
      <c r="AC813" s="732"/>
      <c r="AD813" s="732"/>
      <c r="AE813" s="732"/>
      <c r="AF813" s="732"/>
      <c r="AG813" s="109" t="str">
        <f>"52:sisetukbn_code:" &amp; IF(D823="■",9,0)</f>
        <v>52:sisetukbn_code:0</v>
      </c>
      <c r="AI813" s="109" t="str">
        <f>"52:"&amp;IF(AND(I813="□",M813="□",Q813="□",U813="□",I814="□",M814="□",Q814="□",I815="□"),"ketu_doctor_code:0",IF(I813="■","ketu_doctor_code:1:ketu_kangos_code:1:ketu_kshoku_code:1:ketu_rryoho_code:1:ketu_sryoho_code:1:ketu_ksiensou_code:1:ketu_gengo_code:1",IF(M813="■","ketu_doctor_code:2","ketu_doctor_code:1")
&amp;IF(Q813="■",":ketu_kangos_code:2",":ketu_kangos_code:1")
&amp;IF(U813="■",":ketu_kshoku_code:2",":ketu_kshoku_code:1")
&amp;IF(I814="■",":ketu_rryoho_code:2",":ketu_rryoho_code:1")
&amp;IF(M814="■",":ketu_sryoho_code:2",":ketu_sryoho_code:1")
&amp;IF(Q814="■",":ketu_ksiensou_code:2",":ketu_ksiensou_code:1")
&amp;IF(I815="■",":ketu_gengo_code:2",":ketu_gengo_code:1")))</f>
        <v>52:ketu_doctor_code:0</v>
      </c>
    </row>
    <row r="814" spans="1:36" s="109" customFormat="1" ht="18.75" customHeight="1" x14ac:dyDescent="0.2">
      <c r="A814" s="139"/>
      <c r="B814" s="123"/>
      <c r="C814" s="248"/>
      <c r="D814" s="249"/>
      <c r="E814" s="128"/>
      <c r="F814" s="142"/>
      <c r="G814" s="128"/>
      <c r="H814" s="768"/>
      <c r="I814" s="469" t="s">
        <v>383</v>
      </c>
      <c r="J814" s="434" t="s">
        <v>292</v>
      </c>
      <c r="K814" s="434"/>
      <c r="L814" s="470"/>
      <c r="M814" s="454" t="s">
        <v>383</v>
      </c>
      <c r="N814" s="434" t="s">
        <v>293</v>
      </c>
      <c r="O814" s="434"/>
      <c r="P814" s="470"/>
      <c r="Q814" s="454" t="s">
        <v>383</v>
      </c>
      <c r="R814" s="470" t="s">
        <v>405</v>
      </c>
      <c r="S814" s="470"/>
      <c r="T814" s="470"/>
      <c r="U814" s="470"/>
      <c r="V814" s="470"/>
      <c r="W814" s="470"/>
      <c r="X814" s="471"/>
      <c r="Y814" s="455"/>
      <c r="Z814" s="147"/>
      <c r="AA814" s="147"/>
      <c r="AB814" s="148"/>
      <c r="AC814" s="732"/>
      <c r="AD814" s="732"/>
      <c r="AE814" s="732"/>
      <c r="AF814" s="732"/>
    </row>
    <row r="815" spans="1:36" s="109" customFormat="1" ht="18.75" customHeight="1" x14ac:dyDescent="0.2">
      <c r="A815" s="139"/>
      <c r="B815" s="123"/>
      <c r="C815" s="248"/>
      <c r="D815" s="249"/>
      <c r="E815" s="128"/>
      <c r="F815" s="142"/>
      <c r="G815" s="128"/>
      <c r="H815" s="769"/>
      <c r="I815" s="400" t="s">
        <v>383</v>
      </c>
      <c r="J815" s="401" t="s">
        <v>406</v>
      </c>
      <c r="K815" s="401"/>
      <c r="L815" s="403"/>
      <c r="M815" s="402"/>
      <c r="N815" s="401"/>
      <c r="O815" s="401"/>
      <c r="P815" s="403"/>
      <c r="Q815" s="403"/>
      <c r="R815" s="403"/>
      <c r="S815" s="403"/>
      <c r="T815" s="403"/>
      <c r="U815" s="403"/>
      <c r="V815" s="403"/>
      <c r="W815" s="403"/>
      <c r="X815" s="404"/>
      <c r="Y815" s="455"/>
      <c r="Z815" s="147"/>
      <c r="AA815" s="147"/>
      <c r="AB815" s="148"/>
      <c r="AC815" s="732"/>
      <c r="AD815" s="732"/>
      <c r="AE815" s="732"/>
      <c r="AF815" s="732"/>
    </row>
    <row r="816" spans="1:36" s="109" customFormat="1" ht="18.75" customHeight="1" x14ac:dyDescent="0.2">
      <c r="A816" s="139"/>
      <c r="B816" s="123"/>
      <c r="C816" s="248"/>
      <c r="D816" s="249"/>
      <c r="E816" s="128"/>
      <c r="F816" s="142"/>
      <c r="G816" s="128"/>
      <c r="H816" s="405" t="s">
        <v>98</v>
      </c>
      <c r="I816" s="406" t="s">
        <v>383</v>
      </c>
      <c r="J816" s="345" t="s">
        <v>265</v>
      </c>
      <c r="K816" s="362"/>
      <c r="L816" s="407"/>
      <c r="M816" s="408" t="s">
        <v>383</v>
      </c>
      <c r="N816" s="345" t="s">
        <v>266</v>
      </c>
      <c r="O816" s="362"/>
      <c r="P816" s="362"/>
      <c r="Q816" s="362"/>
      <c r="R816" s="362"/>
      <c r="S816" s="362"/>
      <c r="T816" s="362"/>
      <c r="U816" s="362"/>
      <c r="V816" s="362"/>
      <c r="W816" s="362"/>
      <c r="X816" s="363"/>
      <c r="Y816" s="455"/>
      <c r="Z816" s="147"/>
      <c r="AA816" s="147"/>
      <c r="AB816" s="148"/>
      <c r="AC816" s="732"/>
      <c r="AD816" s="732"/>
      <c r="AE816" s="732"/>
      <c r="AF816" s="732"/>
      <c r="AI816" s="109" t="str">
        <f>"52:unitcare_code:" &amp; IF(I816="■",1,IF(M816="■",2,0))</f>
        <v>52:unitcare_code:0</v>
      </c>
    </row>
    <row r="817" spans="1:35" s="109" customFormat="1" ht="18.75" customHeight="1" x14ac:dyDescent="0.2">
      <c r="A817" s="139"/>
      <c r="B817" s="123"/>
      <c r="C817" s="248"/>
      <c r="D817" s="249"/>
      <c r="E817" s="128"/>
      <c r="F817" s="142"/>
      <c r="G817" s="128"/>
      <c r="H817" s="405" t="s">
        <v>107</v>
      </c>
      <c r="I817" s="406" t="s">
        <v>383</v>
      </c>
      <c r="J817" s="345" t="s">
        <v>395</v>
      </c>
      <c r="K817" s="362"/>
      <c r="L817" s="407"/>
      <c r="M817" s="408" t="s">
        <v>383</v>
      </c>
      <c r="N817" s="345" t="s">
        <v>396</v>
      </c>
      <c r="O817" s="362"/>
      <c r="P817" s="362"/>
      <c r="Q817" s="362"/>
      <c r="R817" s="362"/>
      <c r="S817" s="362"/>
      <c r="T817" s="362"/>
      <c r="U817" s="362"/>
      <c r="V817" s="362"/>
      <c r="W817" s="362"/>
      <c r="X817" s="363"/>
      <c r="Y817" s="455"/>
      <c r="Z817" s="147"/>
      <c r="AA817" s="147"/>
      <c r="AB817" s="148"/>
      <c r="AC817" s="732"/>
      <c r="AD817" s="732"/>
      <c r="AE817" s="732"/>
      <c r="AF817" s="732"/>
      <c r="AI817" s="109" t="str">
        <f>"52:sintaikousoku_code:" &amp; IF(I817="■",1,IF(M817="■",2,0))</f>
        <v>52:sintaikousoku_code:0</v>
      </c>
    </row>
    <row r="818" spans="1:35" s="109" customFormat="1" ht="18.75" customHeight="1" x14ac:dyDescent="0.2">
      <c r="A818" s="139"/>
      <c r="B818" s="123"/>
      <c r="C818" s="248"/>
      <c r="D818" s="249"/>
      <c r="E818" s="128"/>
      <c r="F818" s="142"/>
      <c r="G818" s="128"/>
      <c r="H818" s="405" t="s">
        <v>200</v>
      </c>
      <c r="I818" s="406" t="s">
        <v>383</v>
      </c>
      <c r="J818" s="345" t="s">
        <v>395</v>
      </c>
      <c r="K818" s="362"/>
      <c r="L818" s="407"/>
      <c r="M818" s="408" t="s">
        <v>383</v>
      </c>
      <c r="N818" s="345" t="s">
        <v>396</v>
      </c>
      <c r="O818" s="362"/>
      <c r="P818" s="362"/>
      <c r="Q818" s="362"/>
      <c r="R818" s="362"/>
      <c r="S818" s="362"/>
      <c r="T818" s="362"/>
      <c r="U818" s="362"/>
      <c r="V818" s="362"/>
      <c r="W818" s="362"/>
      <c r="X818" s="363"/>
      <c r="Y818" s="455"/>
      <c r="Z818" s="147"/>
      <c r="AA818" s="147"/>
      <c r="AB818" s="148"/>
      <c r="AC818" s="732"/>
      <c r="AD818" s="732"/>
      <c r="AE818" s="732"/>
      <c r="AF818" s="732"/>
      <c r="AI818" s="109" t="str">
        <f>"52:field208:" &amp; IF(I818="■",1,IF(M818="■",2,0))</f>
        <v>52:field208:0</v>
      </c>
    </row>
    <row r="819" spans="1:35" s="109" customFormat="1" ht="19.5" customHeight="1" x14ac:dyDescent="0.2">
      <c r="A819" s="139"/>
      <c r="B819" s="123"/>
      <c r="C819" s="140"/>
      <c r="D819" s="141"/>
      <c r="E819" s="128"/>
      <c r="F819" s="142"/>
      <c r="G819" s="143"/>
      <c r="H819" s="422" t="s">
        <v>430</v>
      </c>
      <c r="I819" s="406" t="s">
        <v>383</v>
      </c>
      <c r="J819" s="345" t="s">
        <v>395</v>
      </c>
      <c r="K819" s="362"/>
      <c r="L819" s="407"/>
      <c r="M819" s="408" t="s">
        <v>383</v>
      </c>
      <c r="N819" s="345" t="s">
        <v>431</v>
      </c>
      <c r="O819" s="344"/>
      <c r="P819" s="345"/>
      <c r="Q819" s="346"/>
      <c r="R819" s="346"/>
      <c r="S819" s="346"/>
      <c r="T819" s="346"/>
      <c r="U819" s="346"/>
      <c r="V819" s="346"/>
      <c r="W819" s="346"/>
      <c r="X819" s="347"/>
      <c r="Y819" s="446"/>
      <c r="Z819" s="147"/>
      <c r="AA819" s="147"/>
      <c r="AB819" s="148"/>
      <c r="AC819" s="732"/>
      <c r="AD819" s="732"/>
      <c r="AE819" s="732"/>
      <c r="AF819" s="732"/>
      <c r="AI819" s="109" t="str">
        <f>"52:field223:" &amp; IF(I819="■",1,IF(M819="■",2,0))</f>
        <v>52:field223:0</v>
      </c>
    </row>
    <row r="820" spans="1:35" s="109" customFormat="1" ht="19.5" customHeight="1" x14ac:dyDescent="0.2">
      <c r="A820" s="139"/>
      <c r="B820" s="123"/>
      <c r="C820" s="140"/>
      <c r="D820" s="141"/>
      <c r="E820" s="128"/>
      <c r="F820" s="142"/>
      <c r="G820" s="143"/>
      <c r="H820" s="422" t="s">
        <v>448</v>
      </c>
      <c r="I820" s="406" t="s">
        <v>383</v>
      </c>
      <c r="J820" s="345" t="s">
        <v>395</v>
      </c>
      <c r="K820" s="362"/>
      <c r="L820" s="407"/>
      <c r="M820" s="408" t="s">
        <v>383</v>
      </c>
      <c r="N820" s="345" t="s">
        <v>431</v>
      </c>
      <c r="O820" s="344"/>
      <c r="P820" s="345"/>
      <c r="Q820" s="346"/>
      <c r="R820" s="346"/>
      <c r="S820" s="346"/>
      <c r="T820" s="346"/>
      <c r="U820" s="346"/>
      <c r="V820" s="346"/>
      <c r="W820" s="346"/>
      <c r="X820" s="347"/>
      <c r="Y820" s="446"/>
      <c r="Z820" s="147"/>
      <c r="AA820" s="147"/>
      <c r="AB820" s="148"/>
      <c r="AC820" s="732"/>
      <c r="AD820" s="732"/>
      <c r="AE820" s="732"/>
      <c r="AF820" s="732"/>
      <c r="AI820" s="109" t="str">
        <f>"52:field232:" &amp; IF(I820="■",1,IF(M820="■",2,0))</f>
        <v>52:field232:0</v>
      </c>
    </row>
    <row r="821" spans="1:35" s="109" customFormat="1" ht="18.75" customHeight="1" x14ac:dyDescent="0.2">
      <c r="A821" s="139"/>
      <c r="B821" s="123"/>
      <c r="C821" s="248"/>
      <c r="D821" s="249"/>
      <c r="E821" s="128"/>
      <c r="F821" s="142"/>
      <c r="G821" s="128"/>
      <c r="H821" s="770" t="s">
        <v>202</v>
      </c>
      <c r="I821" s="772" t="s">
        <v>383</v>
      </c>
      <c r="J821" s="774" t="s">
        <v>250</v>
      </c>
      <c r="K821" s="774"/>
      <c r="L821" s="776" t="s">
        <v>383</v>
      </c>
      <c r="M821" s="774" t="s">
        <v>267</v>
      </c>
      <c r="N821" s="774"/>
      <c r="O821" s="395"/>
      <c r="P821" s="395"/>
      <c r="Q821" s="395"/>
      <c r="R821" s="395"/>
      <c r="S821" s="395"/>
      <c r="T821" s="395"/>
      <c r="U821" s="395"/>
      <c r="V821" s="395"/>
      <c r="W821" s="395"/>
      <c r="X821" s="432"/>
      <c r="Y821" s="455"/>
      <c r="Z821" s="147"/>
      <c r="AA821" s="147"/>
      <c r="AB821" s="148"/>
      <c r="AC821" s="732"/>
      <c r="AD821" s="732"/>
      <c r="AE821" s="732"/>
      <c r="AF821" s="732"/>
      <c r="AI821" s="109" t="str">
        <f>"52:field206:" &amp; IF(I821="■",1,IF(L821="■",2,0))</f>
        <v>52:field206:0</v>
      </c>
    </row>
    <row r="822" spans="1:35" s="109" customFormat="1" ht="18.75" customHeight="1" x14ac:dyDescent="0.2">
      <c r="A822" s="139"/>
      <c r="B822" s="123"/>
      <c r="C822" s="248"/>
      <c r="D822" s="249"/>
      <c r="E822" s="128"/>
      <c r="F822" s="142"/>
      <c r="G822" s="128"/>
      <c r="H822" s="771"/>
      <c r="I822" s="773"/>
      <c r="J822" s="775"/>
      <c r="K822" s="775"/>
      <c r="L822" s="777"/>
      <c r="M822" s="775"/>
      <c r="N822" s="775"/>
      <c r="O822" s="401"/>
      <c r="P822" s="401"/>
      <c r="Q822" s="401"/>
      <c r="R822" s="401"/>
      <c r="S822" s="401"/>
      <c r="T822" s="401"/>
      <c r="U822" s="401"/>
      <c r="V822" s="401"/>
      <c r="W822" s="401"/>
      <c r="X822" s="433"/>
      <c r="Y822" s="455"/>
      <c r="Z822" s="147"/>
      <c r="AA822" s="147"/>
      <c r="AB822" s="148"/>
      <c r="AC822" s="732"/>
      <c r="AD822" s="732"/>
      <c r="AE822" s="732"/>
      <c r="AF822" s="732"/>
    </row>
    <row r="823" spans="1:35" s="1" customFormat="1" ht="19.5" customHeight="1" x14ac:dyDescent="0.2">
      <c r="A823" s="125" t="s">
        <v>383</v>
      </c>
      <c r="B823" s="123">
        <v>52</v>
      </c>
      <c r="C823" s="248" t="s">
        <v>417</v>
      </c>
      <c r="D823" s="125" t="s">
        <v>383</v>
      </c>
      <c r="E823" s="128" t="s">
        <v>418</v>
      </c>
      <c r="F823" s="101"/>
      <c r="G823" s="100"/>
      <c r="H823" s="348" t="s">
        <v>638</v>
      </c>
      <c r="I823" s="406" t="s">
        <v>383</v>
      </c>
      <c r="J823" s="381" t="s">
        <v>624</v>
      </c>
      <c r="K823" s="472"/>
      <c r="L823" s="382"/>
      <c r="M823" s="408" t="s">
        <v>383</v>
      </c>
      <c r="N823" s="381" t="s">
        <v>625</v>
      </c>
      <c r="O823" s="473"/>
      <c r="P823" s="381"/>
      <c r="Q823" s="474"/>
      <c r="R823" s="474"/>
      <c r="S823" s="474"/>
      <c r="T823" s="474"/>
      <c r="U823" s="474"/>
      <c r="V823" s="474"/>
      <c r="W823" s="474"/>
      <c r="X823" s="475"/>
      <c r="Y823" s="476"/>
      <c r="Z823" s="2"/>
      <c r="AA823" s="92"/>
      <c r="AB823" s="102"/>
      <c r="AC823" s="732"/>
      <c r="AD823" s="732"/>
      <c r="AE823" s="732"/>
      <c r="AF823" s="732"/>
      <c r="AI823" s="109" t="str">
        <f>"52:field242:" &amp; IF(I823="■",1,IF(M823="■",2,0))</f>
        <v>52:field242:0</v>
      </c>
    </row>
    <row r="824" spans="1:35" s="109" customFormat="1" ht="18.75" customHeight="1" x14ac:dyDescent="0.2">
      <c r="A824" s="139"/>
      <c r="B824" s="123"/>
      <c r="C824" s="248"/>
      <c r="D824" s="249"/>
      <c r="E824" s="128"/>
      <c r="F824" s="142"/>
      <c r="G824" s="128"/>
      <c r="H824" s="405" t="s">
        <v>111</v>
      </c>
      <c r="I824" s="400" t="s">
        <v>383</v>
      </c>
      <c r="J824" s="401" t="s">
        <v>250</v>
      </c>
      <c r="K824" s="453"/>
      <c r="L824" s="402" t="s">
        <v>383</v>
      </c>
      <c r="M824" s="401" t="s">
        <v>267</v>
      </c>
      <c r="N824" s="362"/>
      <c r="O824" s="362"/>
      <c r="P824" s="362"/>
      <c r="Q824" s="362"/>
      <c r="R824" s="362"/>
      <c r="S824" s="362"/>
      <c r="T824" s="362"/>
      <c r="U824" s="362"/>
      <c r="V824" s="362"/>
      <c r="W824" s="362"/>
      <c r="X824" s="363"/>
      <c r="Y824" s="455"/>
      <c r="Z824" s="147"/>
      <c r="AA824" s="147"/>
      <c r="AB824" s="148"/>
      <c r="AC824" s="732"/>
      <c r="AD824" s="732"/>
      <c r="AE824" s="732"/>
      <c r="AF824" s="732"/>
      <c r="AI824" s="109" t="str">
        <f>"52:yakinhaiti_code:" &amp; IF(I824="■",1,IF(L824="■",2,0))</f>
        <v>52:yakinhaiti_code:0</v>
      </c>
    </row>
    <row r="825" spans="1:35" s="109" customFormat="1" ht="18.75" customHeight="1" x14ac:dyDescent="0.2">
      <c r="A825" s="139"/>
      <c r="B825" s="123"/>
      <c r="C825" s="248"/>
      <c r="D825" s="249"/>
      <c r="E825" s="128"/>
      <c r="F825" s="142"/>
      <c r="G825" s="128"/>
      <c r="H825" s="405" t="s">
        <v>100</v>
      </c>
      <c r="I825" s="400" t="s">
        <v>383</v>
      </c>
      <c r="J825" s="401" t="s">
        <v>250</v>
      </c>
      <c r="K825" s="453"/>
      <c r="L825" s="402" t="s">
        <v>383</v>
      </c>
      <c r="M825" s="401" t="s">
        <v>267</v>
      </c>
      <c r="N825" s="362"/>
      <c r="O825" s="362"/>
      <c r="P825" s="362"/>
      <c r="Q825" s="362"/>
      <c r="R825" s="362"/>
      <c r="S825" s="362"/>
      <c r="T825" s="362"/>
      <c r="U825" s="362"/>
      <c r="V825" s="362"/>
      <c r="W825" s="362"/>
      <c r="X825" s="363"/>
      <c r="Y825" s="455"/>
      <c r="Z825" s="147"/>
      <c r="AA825" s="147"/>
      <c r="AB825" s="148"/>
      <c r="AC825" s="732"/>
      <c r="AD825" s="732"/>
      <c r="AE825" s="732"/>
      <c r="AF825" s="732"/>
      <c r="AI825" s="109" t="str">
        <f>"52:ninticare_code:" &amp; IF(I825="■",1,IF(L825="■",2,0))</f>
        <v>52:ninticare_code:0</v>
      </c>
    </row>
    <row r="826" spans="1:35" s="109" customFormat="1" ht="18.75" customHeight="1" x14ac:dyDescent="0.2">
      <c r="A826" s="139"/>
      <c r="B826" s="123"/>
      <c r="C826" s="248"/>
      <c r="D826" s="249"/>
      <c r="E826" s="128"/>
      <c r="F826" s="142"/>
      <c r="G826" s="128"/>
      <c r="H826" s="477" t="s">
        <v>140</v>
      </c>
      <c r="I826" s="400" t="s">
        <v>383</v>
      </c>
      <c r="J826" s="401" t="s">
        <v>250</v>
      </c>
      <c r="K826" s="453"/>
      <c r="L826" s="402" t="s">
        <v>383</v>
      </c>
      <c r="M826" s="401" t="s">
        <v>267</v>
      </c>
      <c r="N826" s="362"/>
      <c r="O826" s="362"/>
      <c r="P826" s="362"/>
      <c r="Q826" s="362"/>
      <c r="R826" s="362"/>
      <c r="S826" s="362"/>
      <c r="T826" s="362"/>
      <c r="U826" s="362"/>
      <c r="V826" s="362"/>
      <c r="W826" s="362"/>
      <c r="X826" s="363"/>
      <c r="Y826" s="455"/>
      <c r="Z826" s="147"/>
      <c r="AA826" s="147"/>
      <c r="AB826" s="148"/>
      <c r="AC826" s="732"/>
      <c r="AD826" s="732"/>
      <c r="AE826" s="732"/>
      <c r="AF826" s="732"/>
      <c r="AI826" s="109" t="str">
        <f>"52:jyakuninti_uke_code:" &amp; IF(I826="■",1,IF(L826="■",2,0))</f>
        <v>52:jyakuninti_uke_code:0</v>
      </c>
    </row>
    <row r="827" spans="1:35" s="109" customFormat="1" ht="18.75" customHeight="1" x14ac:dyDescent="0.2">
      <c r="A827" s="139"/>
      <c r="B827" s="123"/>
      <c r="C827" s="248"/>
      <c r="D827" s="249"/>
      <c r="E827" s="128"/>
      <c r="F827" s="142"/>
      <c r="G827" s="128"/>
      <c r="H827" s="405" t="s">
        <v>91</v>
      </c>
      <c r="I827" s="400" t="s">
        <v>383</v>
      </c>
      <c r="J827" s="401" t="s">
        <v>250</v>
      </c>
      <c r="K827" s="453"/>
      <c r="L827" s="402" t="s">
        <v>383</v>
      </c>
      <c r="M827" s="401" t="s">
        <v>267</v>
      </c>
      <c r="N827" s="362"/>
      <c r="O827" s="362"/>
      <c r="P827" s="362"/>
      <c r="Q827" s="362"/>
      <c r="R827" s="362"/>
      <c r="S827" s="362"/>
      <c r="T827" s="362"/>
      <c r="U827" s="362"/>
      <c r="V827" s="362"/>
      <c r="W827" s="362"/>
      <c r="X827" s="363"/>
      <c r="Y827" s="455"/>
      <c r="Z827" s="147"/>
      <c r="AA827" s="147"/>
      <c r="AB827" s="148"/>
      <c r="AC827" s="732"/>
      <c r="AD827" s="732"/>
      <c r="AE827" s="732"/>
      <c r="AF827" s="732"/>
      <c r="AI827" s="109" t="str">
        <f>"52:terminal_code:" &amp; IF(I827="■",1,IF(L827="■",2,0))</f>
        <v>52:terminal_code:0</v>
      </c>
    </row>
    <row r="828" spans="1:35" s="109" customFormat="1" ht="18.75" customHeight="1" x14ac:dyDescent="0.2">
      <c r="A828" s="139"/>
      <c r="B828" s="123"/>
      <c r="C828" s="248"/>
      <c r="D828" s="249"/>
      <c r="E828" s="128"/>
      <c r="F828" s="142"/>
      <c r="G828" s="128"/>
      <c r="H828" s="405" t="s">
        <v>199</v>
      </c>
      <c r="I828" s="400" t="s">
        <v>383</v>
      </c>
      <c r="J828" s="401" t="s">
        <v>250</v>
      </c>
      <c r="K828" s="453"/>
      <c r="L828" s="402" t="s">
        <v>383</v>
      </c>
      <c r="M828" s="401" t="s">
        <v>267</v>
      </c>
      <c r="N828" s="362"/>
      <c r="O828" s="362"/>
      <c r="P828" s="362"/>
      <c r="Q828" s="362"/>
      <c r="R828" s="362"/>
      <c r="S828" s="362"/>
      <c r="T828" s="362"/>
      <c r="U828" s="362"/>
      <c r="V828" s="362"/>
      <c r="W828" s="362"/>
      <c r="X828" s="363"/>
      <c r="Y828" s="455"/>
      <c r="Z828" s="147"/>
      <c r="AA828" s="147"/>
      <c r="AB828" s="148"/>
      <c r="AC828" s="732"/>
      <c r="AD828" s="732"/>
      <c r="AE828" s="732"/>
      <c r="AF828" s="732"/>
      <c r="AI828" s="109" t="str">
        <f>"52:field207:" &amp; IF(I828="■",1,IF(L828="■",2,0))</f>
        <v>52:field207:0</v>
      </c>
    </row>
    <row r="829" spans="1:35" s="109" customFormat="1" ht="18.75" customHeight="1" x14ac:dyDescent="0.2">
      <c r="A829" s="139"/>
      <c r="B829" s="123"/>
      <c r="C829" s="248"/>
      <c r="D829" s="249"/>
      <c r="E829" s="128"/>
      <c r="F829" s="142"/>
      <c r="G829" s="128"/>
      <c r="H829" s="405" t="s">
        <v>112</v>
      </c>
      <c r="I829" s="400" t="s">
        <v>383</v>
      </c>
      <c r="J829" s="401" t="s">
        <v>250</v>
      </c>
      <c r="K829" s="453"/>
      <c r="L829" s="402" t="s">
        <v>383</v>
      </c>
      <c r="M829" s="401" t="s">
        <v>267</v>
      </c>
      <c r="N829" s="362"/>
      <c r="O829" s="362"/>
      <c r="P829" s="362"/>
      <c r="Q829" s="362"/>
      <c r="R829" s="362"/>
      <c r="S829" s="362"/>
      <c r="T829" s="362"/>
      <c r="U829" s="362"/>
      <c r="V829" s="362"/>
      <c r="W829" s="362"/>
      <c r="X829" s="363"/>
      <c r="Y829" s="455"/>
      <c r="Z829" s="147"/>
      <c r="AA829" s="147"/>
      <c r="AB829" s="148"/>
      <c r="AC829" s="732"/>
      <c r="AD829" s="732"/>
      <c r="AE829" s="732"/>
      <c r="AF829" s="732"/>
      <c r="AI829" s="109" t="str">
        <f>"52:ryouyoushoku_code:" &amp; IF(I829="■",1,IF(L829="■",2,0))</f>
        <v>52:ryouyoushoku_code:0</v>
      </c>
    </row>
    <row r="830" spans="1:35" s="109" customFormat="1" ht="18.75" customHeight="1" x14ac:dyDescent="0.2">
      <c r="A830" s="139"/>
      <c r="B830" s="123"/>
      <c r="C830" s="248"/>
      <c r="D830" s="249"/>
      <c r="E830" s="128"/>
      <c r="F830" s="142"/>
      <c r="G830" s="128"/>
      <c r="H830" s="405" t="s">
        <v>116</v>
      </c>
      <c r="I830" s="406" t="s">
        <v>383</v>
      </c>
      <c r="J830" s="345" t="s">
        <v>250</v>
      </c>
      <c r="K830" s="345"/>
      <c r="L830" s="408" t="s">
        <v>383</v>
      </c>
      <c r="M830" s="345" t="s">
        <v>251</v>
      </c>
      <c r="N830" s="345"/>
      <c r="O830" s="408" t="s">
        <v>383</v>
      </c>
      <c r="P830" s="345" t="s">
        <v>252</v>
      </c>
      <c r="Q830" s="346"/>
      <c r="R830" s="362"/>
      <c r="S830" s="362"/>
      <c r="T830" s="362"/>
      <c r="U830" s="362"/>
      <c r="V830" s="362"/>
      <c r="W830" s="362"/>
      <c r="X830" s="363"/>
      <c r="Y830" s="455"/>
      <c r="Z830" s="147"/>
      <c r="AA830" s="147"/>
      <c r="AB830" s="148"/>
      <c r="AC830" s="732"/>
      <c r="AD830" s="732"/>
      <c r="AE830" s="732"/>
      <c r="AF830" s="732"/>
      <c r="AI830" s="109" t="str">
        <f>"52:ninti_senmoncare_code:" &amp; IF(I830="■",1,IF(O830="■",3,IF(L830="■",2,0)))</f>
        <v>52:ninti_senmoncare_code:0</v>
      </c>
    </row>
    <row r="831" spans="1:35" s="109" customFormat="1" ht="18.75" customHeight="1" x14ac:dyDescent="0.2">
      <c r="A831" s="139"/>
      <c r="B831" s="123"/>
      <c r="C831" s="248"/>
      <c r="D831" s="249"/>
      <c r="E831" s="128"/>
      <c r="F831" s="142"/>
      <c r="G831" s="128"/>
      <c r="H831" s="405" t="s">
        <v>447</v>
      </c>
      <c r="I831" s="406" t="s">
        <v>383</v>
      </c>
      <c r="J831" s="345" t="s">
        <v>250</v>
      </c>
      <c r="K831" s="345"/>
      <c r="L831" s="408" t="s">
        <v>383</v>
      </c>
      <c r="M831" s="345" t="s">
        <v>251</v>
      </c>
      <c r="N831" s="345"/>
      <c r="O831" s="408" t="s">
        <v>383</v>
      </c>
      <c r="P831" s="345" t="s">
        <v>252</v>
      </c>
      <c r="Q831" s="362"/>
      <c r="R831" s="362"/>
      <c r="S831" s="362"/>
      <c r="T831" s="362"/>
      <c r="U831" s="362"/>
      <c r="V831" s="362"/>
      <c r="W831" s="362"/>
      <c r="X831" s="363"/>
      <c r="Y831" s="455"/>
      <c r="Z831" s="147"/>
      <c r="AA831" s="147"/>
      <c r="AB831" s="148"/>
      <c r="AC831" s="732"/>
      <c r="AD831" s="732"/>
      <c r="AE831" s="732"/>
      <c r="AF831" s="732"/>
      <c r="AI831" s="109" t="str">
        <f>"52:field228:" &amp; IF(I831="■",1,IF(L831="■",2,IF(O831="■",3,0)))</f>
        <v>52:field228:0</v>
      </c>
    </row>
    <row r="832" spans="1:35" s="109" customFormat="1" ht="18.75" customHeight="1" x14ac:dyDescent="0.2">
      <c r="A832" s="139"/>
      <c r="B832" s="123"/>
      <c r="C832" s="248"/>
      <c r="D832" s="249"/>
      <c r="E832" s="128"/>
      <c r="F832" s="142"/>
      <c r="G832" s="128"/>
      <c r="H832" s="405" t="s">
        <v>461</v>
      </c>
      <c r="I832" s="406" t="s">
        <v>383</v>
      </c>
      <c r="J832" s="345" t="s">
        <v>250</v>
      </c>
      <c r="K832" s="345"/>
      <c r="L832" s="408" t="s">
        <v>383</v>
      </c>
      <c r="M832" s="401" t="s">
        <v>267</v>
      </c>
      <c r="N832" s="345"/>
      <c r="O832" s="345"/>
      <c r="P832" s="345"/>
      <c r="Q832" s="362"/>
      <c r="R832" s="362"/>
      <c r="S832" s="362"/>
      <c r="T832" s="362"/>
      <c r="U832" s="362"/>
      <c r="V832" s="362"/>
      <c r="W832" s="362"/>
      <c r="X832" s="363"/>
      <c r="Y832" s="455"/>
      <c r="Z832" s="147"/>
      <c r="AA832" s="147"/>
      <c r="AB832" s="148"/>
      <c r="AC832" s="732"/>
      <c r="AD832" s="732"/>
      <c r="AE832" s="732"/>
      <c r="AF832" s="732"/>
      <c r="AI832" s="109" t="str">
        <f>"52:field226:" &amp; IF(I832="■",1,IF(L832="■",2,0))</f>
        <v>52:field226:0</v>
      </c>
    </row>
    <row r="833" spans="1:36" s="109" customFormat="1" ht="18.75" customHeight="1" x14ac:dyDescent="0.2">
      <c r="A833" s="139"/>
      <c r="B833" s="123"/>
      <c r="C833" s="248"/>
      <c r="D833" s="249"/>
      <c r="E833" s="128"/>
      <c r="F833" s="142"/>
      <c r="G833" s="128"/>
      <c r="H833" s="405" t="s">
        <v>462</v>
      </c>
      <c r="I833" s="406" t="s">
        <v>383</v>
      </c>
      <c r="J833" s="345" t="s">
        <v>250</v>
      </c>
      <c r="K833" s="345"/>
      <c r="L833" s="408" t="s">
        <v>383</v>
      </c>
      <c r="M833" s="401" t="s">
        <v>267</v>
      </c>
      <c r="N833" s="345"/>
      <c r="O833" s="345"/>
      <c r="P833" s="345"/>
      <c r="Q833" s="362"/>
      <c r="R833" s="362"/>
      <c r="S833" s="362"/>
      <c r="T833" s="362"/>
      <c r="U833" s="362"/>
      <c r="V833" s="362"/>
      <c r="W833" s="362"/>
      <c r="X833" s="363"/>
      <c r="Y833" s="455"/>
      <c r="Z833" s="147"/>
      <c r="AA833" s="147"/>
      <c r="AB833" s="148"/>
      <c r="AC833" s="732"/>
      <c r="AD833" s="732"/>
      <c r="AE833" s="732"/>
      <c r="AF833" s="732"/>
      <c r="AI833" s="109" t="str">
        <f>"52:field227:" &amp; IF(I833="■",1,IF(L833="■",2,0))</f>
        <v>52:field227:0</v>
      </c>
    </row>
    <row r="834" spans="1:36" s="109" customFormat="1" ht="18.75" customHeight="1" x14ac:dyDescent="0.2">
      <c r="A834" s="139"/>
      <c r="B834" s="123"/>
      <c r="C834" s="248"/>
      <c r="D834" s="249"/>
      <c r="E834" s="128"/>
      <c r="F834" s="142"/>
      <c r="G834" s="128"/>
      <c r="H834" s="423" t="s">
        <v>442</v>
      </c>
      <c r="I834" s="406" t="s">
        <v>383</v>
      </c>
      <c r="J834" s="345" t="s">
        <v>250</v>
      </c>
      <c r="K834" s="345"/>
      <c r="L834" s="408" t="s">
        <v>383</v>
      </c>
      <c r="M834" s="345" t="s">
        <v>251</v>
      </c>
      <c r="N834" s="345"/>
      <c r="O834" s="408" t="s">
        <v>383</v>
      </c>
      <c r="P834" s="345" t="s">
        <v>252</v>
      </c>
      <c r="Q834" s="346"/>
      <c r="R834" s="346"/>
      <c r="S834" s="346"/>
      <c r="T834" s="346"/>
      <c r="U834" s="424"/>
      <c r="V834" s="424"/>
      <c r="W834" s="424"/>
      <c r="X834" s="425"/>
      <c r="Y834" s="455"/>
      <c r="Z834" s="147"/>
      <c r="AA834" s="147"/>
      <c r="AB834" s="148"/>
      <c r="AC834" s="732"/>
      <c r="AD834" s="732"/>
      <c r="AE834" s="732"/>
      <c r="AF834" s="732"/>
      <c r="AI834" s="109" t="str">
        <f>"52:field225:" &amp; IF(I834="■",1,IF(L834="■",2,IF(O834="■",3,0)))</f>
        <v>52:field225:0</v>
      </c>
    </row>
    <row r="835" spans="1:36" s="109" customFormat="1" ht="18.75" customHeight="1" x14ac:dyDescent="0.2">
      <c r="A835" s="139"/>
      <c r="B835" s="123"/>
      <c r="C835" s="248"/>
      <c r="D835" s="249"/>
      <c r="E835" s="128"/>
      <c r="F835" s="142"/>
      <c r="G835" s="128"/>
      <c r="H835" s="405" t="s">
        <v>118</v>
      </c>
      <c r="I835" s="406" t="s">
        <v>383</v>
      </c>
      <c r="J835" s="345" t="s">
        <v>250</v>
      </c>
      <c r="K835" s="345"/>
      <c r="L835" s="408" t="s">
        <v>383</v>
      </c>
      <c r="M835" s="345" t="s">
        <v>258</v>
      </c>
      <c r="N835" s="345"/>
      <c r="O835" s="408" t="s">
        <v>383</v>
      </c>
      <c r="P835" s="345" t="s">
        <v>259</v>
      </c>
      <c r="Q835" s="430"/>
      <c r="R835" s="408" t="s">
        <v>383</v>
      </c>
      <c r="S835" s="345" t="s">
        <v>283</v>
      </c>
      <c r="T835" s="345"/>
      <c r="U835" s="345"/>
      <c r="V835" s="345"/>
      <c r="W835" s="345"/>
      <c r="X835" s="462"/>
      <c r="Y835" s="455"/>
      <c r="Z835" s="147"/>
      <c r="AA835" s="147"/>
      <c r="AB835" s="148"/>
      <c r="AC835" s="732"/>
      <c r="AD835" s="732"/>
      <c r="AE835" s="732"/>
      <c r="AF835" s="732"/>
      <c r="AI835" s="109" t="str">
        <f>"52:serteikyo_kyoka_code:" &amp; IF(I835="■",1,IF(L835="■",6,IF(O835="■",5,IF(R835="■",7,0))))</f>
        <v>52:serteikyo_kyoka_code:0</v>
      </c>
    </row>
    <row r="836" spans="1:36" s="621" customFormat="1" ht="18.75" customHeight="1" x14ac:dyDescent="0.2">
      <c r="A836" s="139"/>
      <c r="B836" s="670"/>
      <c r="C836" s="248"/>
      <c r="D836" s="249"/>
      <c r="E836" s="128"/>
      <c r="F836" s="142"/>
      <c r="G836" s="143"/>
      <c r="H836" s="713" t="s">
        <v>790</v>
      </c>
      <c r="I836" s="642" t="s">
        <v>383</v>
      </c>
      <c r="J836" s="616" t="s">
        <v>627</v>
      </c>
      <c r="K836" s="616"/>
      <c r="L836" s="615"/>
      <c r="M836" s="644" t="s">
        <v>383</v>
      </c>
      <c r="N836" s="616" t="s">
        <v>791</v>
      </c>
      <c r="O836" s="617"/>
      <c r="P836" s="615"/>
      <c r="Q836" s="644" t="s">
        <v>383</v>
      </c>
      <c r="R836" s="618" t="s">
        <v>802</v>
      </c>
      <c r="S836" s="615"/>
      <c r="T836" s="615"/>
      <c r="U836" s="615"/>
      <c r="V836" s="618"/>
      <c r="W836" s="619"/>
      <c r="X836" s="620"/>
      <c r="Y836" s="154"/>
      <c r="Z836" s="147"/>
      <c r="AA836" s="147"/>
      <c r="AB836" s="148"/>
      <c r="AC836" s="732"/>
      <c r="AD836" s="732"/>
      <c r="AE836" s="732"/>
      <c r="AF836" s="732"/>
    </row>
    <row r="837" spans="1:36" s="621" customFormat="1" ht="18.75" customHeight="1" x14ac:dyDescent="0.2">
      <c r="A837" s="139"/>
      <c r="B837" s="670"/>
      <c r="C837" s="248"/>
      <c r="D837" s="249"/>
      <c r="E837" s="128"/>
      <c r="F837" s="142"/>
      <c r="G837" s="143"/>
      <c r="H837" s="714"/>
      <c r="I837" s="643" t="s">
        <v>383</v>
      </c>
      <c r="J837" s="623" t="s">
        <v>803</v>
      </c>
      <c r="K837" s="623"/>
      <c r="L837" s="622"/>
      <c r="M837" s="211" t="s">
        <v>383</v>
      </c>
      <c r="N837" s="623" t="s">
        <v>804</v>
      </c>
      <c r="O837" s="624"/>
      <c r="P837" s="622"/>
      <c r="Q837" s="211" t="s">
        <v>383</v>
      </c>
      <c r="R837" s="623" t="s">
        <v>795</v>
      </c>
      <c r="S837" s="622"/>
      <c r="T837" s="623"/>
      <c r="U837" s="211" t="s">
        <v>383</v>
      </c>
      <c r="V837" s="623" t="s">
        <v>796</v>
      </c>
      <c r="W837" s="625"/>
      <c r="X837" s="626"/>
      <c r="Y837" s="154"/>
      <c r="Z837" s="147"/>
      <c r="AA837" s="147"/>
      <c r="AB837" s="148"/>
      <c r="AC837" s="732"/>
      <c r="AD837" s="732"/>
      <c r="AE837" s="732"/>
      <c r="AF837" s="732"/>
    </row>
    <row r="838" spans="1:36" s="109" customFormat="1" ht="18.75" customHeight="1" x14ac:dyDescent="0.2">
      <c r="A838" s="129"/>
      <c r="B838" s="116"/>
      <c r="C838" s="272"/>
      <c r="D838" s="273"/>
      <c r="E838" s="121"/>
      <c r="F838" s="132"/>
      <c r="G838" s="121"/>
      <c r="H838" s="386" t="s">
        <v>97</v>
      </c>
      <c r="I838" s="387" t="s">
        <v>383</v>
      </c>
      <c r="J838" s="388" t="s">
        <v>300</v>
      </c>
      <c r="K838" s="389"/>
      <c r="L838" s="390"/>
      <c r="M838" s="391" t="s">
        <v>383</v>
      </c>
      <c r="N838" s="388" t="s">
        <v>301</v>
      </c>
      <c r="O838" s="392"/>
      <c r="P838" s="392"/>
      <c r="Q838" s="392"/>
      <c r="R838" s="392"/>
      <c r="S838" s="392"/>
      <c r="T838" s="392"/>
      <c r="U838" s="392"/>
      <c r="V838" s="392"/>
      <c r="W838" s="392"/>
      <c r="X838" s="393"/>
      <c r="Y838" s="447" t="s">
        <v>383</v>
      </c>
      <c r="Z838" s="119" t="s">
        <v>249</v>
      </c>
      <c r="AA838" s="119"/>
      <c r="AB838" s="137"/>
      <c r="AC838" s="730"/>
      <c r="AD838" s="730"/>
      <c r="AE838" s="730"/>
      <c r="AF838" s="730"/>
      <c r="AG838" s="109" t="str">
        <f>"ser_code = '" &amp; IF(A849="■",52,"") &amp; "'"</f>
        <v>ser_code = ''</v>
      </c>
      <c r="AI838" s="109" t="str">
        <f>"52:yakan_kinmu_code:" &amp; IF(I838="■",1,IF(M838="■",6,0))</f>
        <v>52:yakan_kinmu_code:0</v>
      </c>
      <c r="AJ838" s="109" t="str">
        <f>"52:field203:" &amp; IF(Y838="■",1,IF(Y839="■",2,0))</f>
        <v>52:field203:0</v>
      </c>
    </row>
    <row r="839" spans="1:36" s="109" customFormat="1" ht="18.75" customHeight="1" x14ac:dyDescent="0.2">
      <c r="A839" s="139"/>
      <c r="B839" s="123"/>
      <c r="C839" s="248"/>
      <c r="D839" s="249"/>
      <c r="E839" s="128"/>
      <c r="F839" s="142"/>
      <c r="G839" s="128"/>
      <c r="H839" s="741" t="s">
        <v>93</v>
      </c>
      <c r="I839" s="175" t="s">
        <v>383</v>
      </c>
      <c r="J839" s="168" t="s">
        <v>250</v>
      </c>
      <c r="K839" s="168"/>
      <c r="L839" s="172"/>
      <c r="M839" s="206" t="s">
        <v>383</v>
      </c>
      <c r="N839" s="168" t="s">
        <v>289</v>
      </c>
      <c r="O839" s="168"/>
      <c r="P839" s="172"/>
      <c r="Q839" s="206" t="s">
        <v>383</v>
      </c>
      <c r="R839" s="172" t="s">
        <v>290</v>
      </c>
      <c r="S839" s="172"/>
      <c r="T839" s="172"/>
      <c r="U839" s="206" t="s">
        <v>383</v>
      </c>
      <c r="V839" s="172" t="s">
        <v>291</v>
      </c>
      <c r="W839" s="172"/>
      <c r="X839" s="209"/>
      <c r="Y839" s="125" t="s">
        <v>383</v>
      </c>
      <c r="Z839" s="126" t="s">
        <v>255</v>
      </c>
      <c r="AA839" s="147"/>
      <c r="AB839" s="148"/>
      <c r="AC839" s="732"/>
      <c r="AD839" s="732"/>
      <c r="AE839" s="732"/>
      <c r="AF839" s="732"/>
      <c r="AG839" s="109" t="str">
        <f>"52:sisetukbn_code:" &amp; IF(D849="■","A",0)</f>
        <v>52:sisetukbn_code:0</v>
      </c>
      <c r="AI839" s="109" t="str">
        <f>"52:"&amp;IF(AND(I839="□",M839="□",Q839="□",U839="□",I840="□",M840="□",Q840="□",I841="□"),"ketu_doctor_code:0",IF(I839="■","ketu_doctor_code:1:ketu_kangos_code:1:ketu_kshoku_code:1:ketu_rryoho_code:1:ketu_sryoho_code:1:ketu_ksiensou_code:1:ketu_gengo_code:1",IF(M839="■","ketu_doctor_code:2","ketu_doctor_code:1")
&amp;IF(Q839="■",":ketu_kangos_code:2",":ketu_kangos_code:1")
&amp;IF(U839="■",":ketu_kshoku_code:2",":ketu_kshoku_code:1")
&amp;IF(I840="■",":ketu_rryoho_code:2",":ketu_rryoho_code:1")
&amp;IF(M840="■",":ketu_sryoho_code:2",":ketu_sryoho_code:1")
&amp;IF(Q840="■",":ketu_ksiensou_code:2",":ketu_ksiensou_code:1")
&amp;IF(I841="■",":ketu_gengo_code:2",":ketu_gengo_code:1")))</f>
        <v>52:ketu_doctor_code:0</v>
      </c>
    </row>
    <row r="840" spans="1:36" s="109" customFormat="1" ht="18.75" customHeight="1" x14ac:dyDescent="0.2">
      <c r="A840" s="139"/>
      <c r="B840" s="123"/>
      <c r="C840" s="248"/>
      <c r="D840" s="249"/>
      <c r="E840" s="128"/>
      <c r="F840" s="142"/>
      <c r="G840" s="128"/>
      <c r="H840" s="706"/>
      <c r="I840" s="125" t="s">
        <v>383</v>
      </c>
      <c r="J840" s="126" t="s">
        <v>292</v>
      </c>
      <c r="K840" s="126"/>
      <c r="L840" s="108"/>
      <c r="M840" s="118" t="s">
        <v>383</v>
      </c>
      <c r="N840" s="126" t="s">
        <v>293</v>
      </c>
      <c r="O840" s="126"/>
      <c r="P840" s="108"/>
      <c r="Q840" s="118" t="s">
        <v>383</v>
      </c>
      <c r="R840" s="108" t="s">
        <v>405</v>
      </c>
      <c r="S840" s="108"/>
      <c r="T840" s="108"/>
      <c r="U840" s="108"/>
      <c r="V840" s="108"/>
      <c r="W840" s="108"/>
      <c r="X840" s="178"/>
      <c r="Y840" s="154"/>
      <c r="Z840" s="147"/>
      <c r="AA840" s="147"/>
      <c r="AB840" s="148"/>
      <c r="AC840" s="732"/>
      <c r="AD840" s="732"/>
      <c r="AE840" s="732"/>
      <c r="AF840" s="732"/>
    </row>
    <row r="841" spans="1:36" s="109" customFormat="1" ht="18.75" customHeight="1" x14ac:dyDescent="0.2">
      <c r="A841" s="139"/>
      <c r="B841" s="123"/>
      <c r="C841" s="248"/>
      <c r="D841" s="249"/>
      <c r="E841" s="128"/>
      <c r="F841" s="142"/>
      <c r="G841" s="128"/>
      <c r="H841" s="742"/>
      <c r="I841" s="150" t="s">
        <v>383</v>
      </c>
      <c r="J841" s="169" t="s">
        <v>406</v>
      </c>
      <c r="K841" s="169"/>
      <c r="L841" s="151"/>
      <c r="M841" s="203"/>
      <c r="N841" s="169"/>
      <c r="O841" s="169"/>
      <c r="P841" s="151"/>
      <c r="Q841" s="151"/>
      <c r="R841" s="151"/>
      <c r="S841" s="151"/>
      <c r="T841" s="151"/>
      <c r="U841" s="151"/>
      <c r="V841" s="151"/>
      <c r="W841" s="151"/>
      <c r="X841" s="238"/>
      <c r="Y841" s="154"/>
      <c r="Z841" s="147"/>
      <c r="AA841" s="147"/>
      <c r="AB841" s="148"/>
      <c r="AC841" s="732"/>
      <c r="AD841" s="732"/>
      <c r="AE841" s="732"/>
      <c r="AF841" s="732"/>
    </row>
    <row r="842" spans="1:36" s="109" customFormat="1" ht="18.75" customHeight="1" x14ac:dyDescent="0.2">
      <c r="A842" s="139"/>
      <c r="B842" s="123"/>
      <c r="C842" s="248"/>
      <c r="D842" s="249"/>
      <c r="E842" s="128"/>
      <c r="F842" s="142"/>
      <c r="G842" s="128"/>
      <c r="H842" s="242" t="s">
        <v>98</v>
      </c>
      <c r="I842" s="156" t="s">
        <v>383</v>
      </c>
      <c r="J842" s="157" t="s">
        <v>265</v>
      </c>
      <c r="K842" s="158"/>
      <c r="L842" s="159"/>
      <c r="M842" s="160" t="s">
        <v>383</v>
      </c>
      <c r="N842" s="157" t="s">
        <v>266</v>
      </c>
      <c r="O842" s="158"/>
      <c r="P842" s="158"/>
      <c r="Q842" s="158"/>
      <c r="R842" s="158"/>
      <c r="S842" s="158"/>
      <c r="T842" s="158"/>
      <c r="U842" s="158"/>
      <c r="V842" s="158"/>
      <c r="W842" s="158"/>
      <c r="X842" s="166"/>
      <c r="Y842" s="154"/>
      <c r="Z842" s="147"/>
      <c r="AA842" s="147"/>
      <c r="AB842" s="148"/>
      <c r="AC842" s="732"/>
      <c r="AD842" s="732"/>
      <c r="AE842" s="732"/>
      <c r="AF842" s="732"/>
      <c r="AI842" s="109" t="str">
        <f>"52:unitcare_code:" &amp; IF(I842="■",1,IF(M842="■",2,0))</f>
        <v>52:unitcare_code:0</v>
      </c>
    </row>
    <row r="843" spans="1:36" s="109" customFormat="1" ht="18.75" customHeight="1" x14ac:dyDescent="0.2">
      <c r="A843" s="139"/>
      <c r="B843" s="123"/>
      <c r="C843" s="248"/>
      <c r="D843" s="249"/>
      <c r="E843" s="128"/>
      <c r="F843" s="142"/>
      <c r="G843" s="128"/>
      <c r="H843" s="242" t="s">
        <v>107</v>
      </c>
      <c r="I843" s="156" t="s">
        <v>383</v>
      </c>
      <c r="J843" s="157" t="s">
        <v>395</v>
      </c>
      <c r="K843" s="158"/>
      <c r="L843" s="159"/>
      <c r="M843" s="160" t="s">
        <v>383</v>
      </c>
      <c r="N843" s="157" t="s">
        <v>396</v>
      </c>
      <c r="O843" s="158"/>
      <c r="P843" s="158"/>
      <c r="Q843" s="158"/>
      <c r="R843" s="158"/>
      <c r="S843" s="158"/>
      <c r="T843" s="158"/>
      <c r="U843" s="158"/>
      <c r="V843" s="158"/>
      <c r="W843" s="158"/>
      <c r="X843" s="166"/>
      <c r="Y843" s="154"/>
      <c r="Z843" s="147"/>
      <c r="AA843" s="147"/>
      <c r="AB843" s="148"/>
      <c r="AC843" s="732"/>
      <c r="AD843" s="732"/>
      <c r="AE843" s="732"/>
      <c r="AF843" s="732"/>
      <c r="AI843" s="109" t="str">
        <f>"52:sintaikousoku_code:" &amp; IF(I843="■",1,IF(M843="■",2,0))</f>
        <v>52:sintaikousoku_code:0</v>
      </c>
    </row>
    <row r="844" spans="1:36" s="109" customFormat="1" ht="18.75" customHeight="1" x14ac:dyDescent="0.2">
      <c r="A844" s="139"/>
      <c r="B844" s="123"/>
      <c r="C844" s="248"/>
      <c r="D844" s="249"/>
      <c r="E844" s="128"/>
      <c r="F844" s="142"/>
      <c r="G844" s="128"/>
      <c r="H844" s="242" t="s">
        <v>200</v>
      </c>
      <c r="I844" s="156" t="s">
        <v>383</v>
      </c>
      <c r="J844" s="157" t="s">
        <v>395</v>
      </c>
      <c r="K844" s="158"/>
      <c r="L844" s="159"/>
      <c r="M844" s="160" t="s">
        <v>383</v>
      </c>
      <c r="N844" s="157" t="s">
        <v>396</v>
      </c>
      <c r="O844" s="158"/>
      <c r="P844" s="158"/>
      <c r="Q844" s="158"/>
      <c r="R844" s="158"/>
      <c r="S844" s="158"/>
      <c r="T844" s="158"/>
      <c r="U844" s="158"/>
      <c r="V844" s="158"/>
      <c r="W844" s="158"/>
      <c r="X844" s="166"/>
      <c r="Y844" s="154"/>
      <c r="Z844" s="147"/>
      <c r="AA844" s="147"/>
      <c r="AB844" s="148"/>
      <c r="AC844" s="732"/>
      <c r="AD844" s="732"/>
      <c r="AE844" s="732"/>
      <c r="AF844" s="732"/>
      <c r="AI844" s="109" t="str">
        <f>"52:field208:" &amp; IF(I844="■",1,IF(M844="■",2,0))</f>
        <v>52:field208:0</v>
      </c>
    </row>
    <row r="845" spans="1:36" s="109" customFormat="1" ht="19.5" customHeight="1" x14ac:dyDescent="0.2">
      <c r="A845" s="139"/>
      <c r="B845" s="123"/>
      <c r="C845" s="140"/>
      <c r="D845" s="141"/>
      <c r="E845" s="128"/>
      <c r="F845" s="142"/>
      <c r="G845" s="143"/>
      <c r="H845" s="155" t="s">
        <v>430</v>
      </c>
      <c r="I845" s="156" t="s">
        <v>383</v>
      </c>
      <c r="J845" s="157" t="s">
        <v>395</v>
      </c>
      <c r="K845" s="158"/>
      <c r="L845" s="159"/>
      <c r="M845" s="160" t="s">
        <v>383</v>
      </c>
      <c r="N845" s="157" t="s">
        <v>431</v>
      </c>
      <c r="O845" s="161"/>
      <c r="P845" s="157"/>
      <c r="Q845" s="162"/>
      <c r="R845" s="162"/>
      <c r="S845" s="162"/>
      <c r="T845" s="162"/>
      <c r="U845" s="162"/>
      <c r="V845" s="162"/>
      <c r="W845" s="162"/>
      <c r="X845" s="163"/>
      <c r="Y845" s="147"/>
      <c r="Z845" s="147"/>
      <c r="AA845" s="147"/>
      <c r="AB845" s="148"/>
      <c r="AC845" s="732"/>
      <c r="AD845" s="732"/>
      <c r="AE845" s="732"/>
      <c r="AF845" s="732"/>
      <c r="AI845" s="109" t="str">
        <f>"52:field223:" &amp; IF(I845="■",1,IF(M845="■",2,0))</f>
        <v>52:field223:0</v>
      </c>
    </row>
    <row r="846" spans="1:36" s="109" customFormat="1" ht="19.5" customHeight="1" x14ac:dyDescent="0.2">
      <c r="A846" s="139"/>
      <c r="B846" s="123"/>
      <c r="C846" s="140"/>
      <c r="D846" s="141"/>
      <c r="E846" s="128"/>
      <c r="F846" s="142"/>
      <c r="G846" s="143"/>
      <c r="H846" s="155" t="s">
        <v>448</v>
      </c>
      <c r="I846" s="156" t="s">
        <v>383</v>
      </c>
      <c r="J846" s="157" t="s">
        <v>395</v>
      </c>
      <c r="K846" s="158"/>
      <c r="L846" s="159"/>
      <c r="M846" s="160" t="s">
        <v>383</v>
      </c>
      <c r="N846" s="157" t="s">
        <v>431</v>
      </c>
      <c r="O846" s="161"/>
      <c r="P846" s="157"/>
      <c r="Q846" s="162"/>
      <c r="R846" s="162"/>
      <c r="S846" s="162"/>
      <c r="T846" s="162"/>
      <c r="U846" s="162"/>
      <c r="V846" s="162"/>
      <c r="W846" s="162"/>
      <c r="X846" s="163"/>
      <c r="Y846" s="147"/>
      <c r="Z846" s="147"/>
      <c r="AA846" s="147"/>
      <c r="AB846" s="148"/>
      <c r="AC846" s="732"/>
      <c r="AD846" s="732"/>
      <c r="AE846" s="732"/>
      <c r="AF846" s="732"/>
      <c r="AI846" s="109" t="str">
        <f>"52:field232:" &amp; IF(I846="■",1,IF(M846="■",2,0))</f>
        <v>52:field232:0</v>
      </c>
    </row>
    <row r="847" spans="1:36" s="109" customFormat="1" ht="18.75" customHeight="1" x14ac:dyDescent="0.2">
      <c r="A847" s="139"/>
      <c r="B847" s="123"/>
      <c r="C847" s="248"/>
      <c r="D847" s="249"/>
      <c r="E847" s="128"/>
      <c r="F847" s="142"/>
      <c r="G847" s="128"/>
      <c r="H847" s="694" t="s">
        <v>202</v>
      </c>
      <c r="I847" s="709" t="s">
        <v>383</v>
      </c>
      <c r="J847" s="708" t="s">
        <v>250</v>
      </c>
      <c r="K847" s="708"/>
      <c r="L847" s="717" t="s">
        <v>383</v>
      </c>
      <c r="M847" s="708" t="s">
        <v>267</v>
      </c>
      <c r="N847" s="708"/>
      <c r="O847" s="168"/>
      <c r="P847" s="168"/>
      <c r="Q847" s="168"/>
      <c r="R847" s="168"/>
      <c r="S847" s="168"/>
      <c r="T847" s="168"/>
      <c r="U847" s="168"/>
      <c r="V847" s="168"/>
      <c r="W847" s="168"/>
      <c r="X847" s="173"/>
      <c r="Y847" s="154"/>
      <c r="Z847" s="147"/>
      <c r="AA847" s="147"/>
      <c r="AB847" s="148"/>
      <c r="AC847" s="732"/>
      <c r="AD847" s="732"/>
      <c r="AE847" s="732"/>
      <c r="AF847" s="732"/>
      <c r="AI847" s="109" t="str">
        <f>"52:field206:" &amp; IF(I847="■",1,IF(L847="■",2,0))</f>
        <v>52:field206:0</v>
      </c>
    </row>
    <row r="848" spans="1:36" s="109" customFormat="1" ht="18.75" customHeight="1" x14ac:dyDescent="0.2">
      <c r="A848" s="139"/>
      <c r="B848" s="123"/>
      <c r="C848" s="248"/>
      <c r="D848" s="249"/>
      <c r="E848" s="128"/>
      <c r="F848" s="142"/>
      <c r="G848" s="128"/>
      <c r="H848" s="693"/>
      <c r="I848" s="710"/>
      <c r="J848" s="698"/>
      <c r="K848" s="698"/>
      <c r="L848" s="718"/>
      <c r="M848" s="698"/>
      <c r="N848" s="698"/>
      <c r="O848" s="169"/>
      <c r="P848" s="169"/>
      <c r="Q848" s="169"/>
      <c r="R848" s="169"/>
      <c r="S848" s="169"/>
      <c r="T848" s="169"/>
      <c r="U848" s="169"/>
      <c r="V848" s="169"/>
      <c r="W848" s="169"/>
      <c r="X848" s="170"/>
      <c r="Y848" s="154"/>
      <c r="Z848" s="147"/>
      <c r="AA848" s="147"/>
      <c r="AB848" s="148"/>
      <c r="AC848" s="732"/>
      <c r="AD848" s="732"/>
      <c r="AE848" s="732"/>
      <c r="AF848" s="732"/>
    </row>
    <row r="849" spans="1:36" s="109" customFormat="1" ht="18.75" customHeight="1" x14ac:dyDescent="0.2">
      <c r="A849" s="125" t="s">
        <v>383</v>
      </c>
      <c r="B849" s="123">
        <v>52</v>
      </c>
      <c r="C849" s="248" t="s">
        <v>417</v>
      </c>
      <c r="D849" s="125" t="s">
        <v>383</v>
      </c>
      <c r="E849" s="128" t="s">
        <v>419</v>
      </c>
      <c r="F849" s="142"/>
      <c r="G849" s="128"/>
      <c r="H849" s="242" t="s">
        <v>111</v>
      </c>
      <c r="I849" s="150" t="s">
        <v>383</v>
      </c>
      <c r="J849" s="169" t="s">
        <v>250</v>
      </c>
      <c r="K849" s="179"/>
      <c r="L849" s="203" t="s">
        <v>383</v>
      </c>
      <c r="M849" s="169" t="s">
        <v>267</v>
      </c>
      <c r="N849" s="158"/>
      <c r="O849" s="158"/>
      <c r="P849" s="158"/>
      <c r="Q849" s="158"/>
      <c r="R849" s="158"/>
      <c r="S849" s="158"/>
      <c r="T849" s="158"/>
      <c r="U849" s="158"/>
      <c r="V849" s="158"/>
      <c r="W849" s="158"/>
      <c r="X849" s="166"/>
      <c r="Y849" s="154"/>
      <c r="Z849" s="147"/>
      <c r="AA849" s="147"/>
      <c r="AB849" s="148"/>
      <c r="AC849" s="732"/>
      <c r="AD849" s="732"/>
      <c r="AE849" s="732"/>
      <c r="AF849" s="732"/>
      <c r="AI849" s="109" t="str">
        <f>"52:yakinhaiti_code:" &amp; IF(I849="■",1,IF(L849="■",2,0))</f>
        <v>52:yakinhaiti_code:0</v>
      </c>
    </row>
    <row r="850" spans="1:36" s="109" customFormat="1" ht="18.75" customHeight="1" x14ac:dyDescent="0.2">
      <c r="A850" s="139"/>
      <c r="B850" s="123"/>
      <c r="C850" s="248"/>
      <c r="D850" s="249"/>
      <c r="E850" s="128"/>
      <c r="F850" s="142"/>
      <c r="G850" s="128"/>
      <c r="H850" s="242" t="s">
        <v>100</v>
      </c>
      <c r="I850" s="150" t="s">
        <v>383</v>
      </c>
      <c r="J850" s="169" t="s">
        <v>250</v>
      </c>
      <c r="K850" s="179"/>
      <c r="L850" s="203" t="s">
        <v>383</v>
      </c>
      <c r="M850" s="169" t="s">
        <v>267</v>
      </c>
      <c r="N850" s="158"/>
      <c r="O850" s="158"/>
      <c r="P850" s="158"/>
      <c r="Q850" s="158"/>
      <c r="R850" s="158"/>
      <c r="S850" s="158"/>
      <c r="T850" s="158"/>
      <c r="U850" s="158"/>
      <c r="V850" s="158"/>
      <c r="W850" s="158"/>
      <c r="X850" s="166"/>
      <c r="Y850" s="154"/>
      <c r="Z850" s="147"/>
      <c r="AA850" s="147"/>
      <c r="AB850" s="148"/>
      <c r="AC850" s="732"/>
      <c r="AD850" s="732"/>
      <c r="AE850" s="732"/>
      <c r="AF850" s="732"/>
      <c r="AI850" s="109" t="str">
        <f>"52:ninticare_code:" &amp; IF(I850="■",1,IF(L850="■",2,0))</f>
        <v>52:ninticare_code:0</v>
      </c>
    </row>
    <row r="851" spans="1:36" s="109" customFormat="1" ht="18.75" customHeight="1" x14ac:dyDescent="0.2">
      <c r="A851" s="139"/>
      <c r="B851" s="123"/>
      <c r="C851" s="248"/>
      <c r="D851" s="249"/>
      <c r="E851" s="128"/>
      <c r="F851" s="142"/>
      <c r="G851" s="128"/>
      <c r="H851" s="245" t="s">
        <v>140</v>
      </c>
      <c r="I851" s="150" t="s">
        <v>383</v>
      </c>
      <c r="J851" s="169" t="s">
        <v>250</v>
      </c>
      <c r="K851" s="179"/>
      <c r="L851" s="203" t="s">
        <v>383</v>
      </c>
      <c r="M851" s="169" t="s">
        <v>267</v>
      </c>
      <c r="N851" s="158"/>
      <c r="O851" s="158"/>
      <c r="P851" s="158"/>
      <c r="Q851" s="158"/>
      <c r="R851" s="158"/>
      <c r="S851" s="158"/>
      <c r="T851" s="158"/>
      <c r="U851" s="158"/>
      <c r="V851" s="158"/>
      <c r="W851" s="158"/>
      <c r="X851" s="166"/>
      <c r="Y851" s="154"/>
      <c r="Z851" s="147"/>
      <c r="AA851" s="147"/>
      <c r="AB851" s="148"/>
      <c r="AC851" s="732"/>
      <c r="AD851" s="732"/>
      <c r="AE851" s="732"/>
      <c r="AF851" s="732"/>
      <c r="AI851" s="109" t="str">
        <f>"52:jyakuninti_uke_code:" &amp; IF(I851="■",1,IF(L851="■",2,0))</f>
        <v>52:jyakuninti_uke_code:0</v>
      </c>
    </row>
    <row r="852" spans="1:36" s="109" customFormat="1" ht="18.75" customHeight="1" x14ac:dyDescent="0.2">
      <c r="A852" s="139"/>
      <c r="B852" s="123"/>
      <c r="C852" s="248"/>
      <c r="D852" s="249"/>
      <c r="E852" s="128"/>
      <c r="F852" s="142"/>
      <c r="G852" s="128"/>
      <c r="H852" s="242" t="s">
        <v>91</v>
      </c>
      <c r="I852" s="150" t="s">
        <v>383</v>
      </c>
      <c r="J852" s="169" t="s">
        <v>250</v>
      </c>
      <c r="K852" s="179"/>
      <c r="L852" s="203" t="s">
        <v>383</v>
      </c>
      <c r="M852" s="169" t="s">
        <v>267</v>
      </c>
      <c r="N852" s="158"/>
      <c r="O852" s="158"/>
      <c r="P852" s="158"/>
      <c r="Q852" s="158"/>
      <c r="R852" s="158"/>
      <c r="S852" s="158"/>
      <c r="T852" s="158"/>
      <c r="U852" s="158"/>
      <c r="V852" s="158"/>
      <c r="W852" s="158"/>
      <c r="X852" s="166"/>
      <c r="Y852" s="154"/>
      <c r="Z852" s="147"/>
      <c r="AA852" s="147"/>
      <c r="AB852" s="148"/>
      <c r="AC852" s="732"/>
      <c r="AD852" s="732"/>
      <c r="AE852" s="732"/>
      <c r="AF852" s="732"/>
      <c r="AI852" s="109" t="str">
        <f>"52:terminal_code:" &amp; IF(I852="■",1,IF(L852="■",2,0))</f>
        <v>52:terminal_code:0</v>
      </c>
    </row>
    <row r="853" spans="1:36" s="109" customFormat="1" ht="18.75" customHeight="1" x14ac:dyDescent="0.2">
      <c r="A853" s="139"/>
      <c r="B853" s="123"/>
      <c r="C853" s="248"/>
      <c r="D853" s="249"/>
      <c r="E853" s="128"/>
      <c r="F853" s="142"/>
      <c r="G853" s="128"/>
      <c r="H853" s="242" t="s">
        <v>199</v>
      </c>
      <c r="I853" s="150" t="s">
        <v>383</v>
      </c>
      <c r="J853" s="169" t="s">
        <v>250</v>
      </c>
      <c r="K853" s="179"/>
      <c r="L853" s="203" t="s">
        <v>383</v>
      </c>
      <c r="M853" s="169" t="s">
        <v>267</v>
      </c>
      <c r="N853" s="158"/>
      <c r="O853" s="158"/>
      <c r="P853" s="158"/>
      <c r="Q853" s="158"/>
      <c r="R853" s="158"/>
      <c r="S853" s="158"/>
      <c r="T853" s="158"/>
      <c r="U853" s="158"/>
      <c r="V853" s="158"/>
      <c r="W853" s="158"/>
      <c r="X853" s="166"/>
      <c r="Y853" s="154"/>
      <c r="Z853" s="147"/>
      <c r="AA853" s="147"/>
      <c r="AB853" s="148"/>
      <c r="AC853" s="732"/>
      <c r="AD853" s="732"/>
      <c r="AE853" s="732"/>
      <c r="AF853" s="732"/>
      <c r="AI853" s="109" t="str">
        <f>"52:field207:" &amp; IF(I853="■",1,IF(L853="■",2,0))</f>
        <v>52:field207:0</v>
      </c>
    </row>
    <row r="854" spans="1:36" s="109" customFormat="1" ht="18.75" customHeight="1" x14ac:dyDescent="0.2">
      <c r="A854" s="139"/>
      <c r="B854" s="123"/>
      <c r="C854" s="248"/>
      <c r="D854" s="249"/>
      <c r="E854" s="128"/>
      <c r="F854" s="142"/>
      <c r="G854" s="128"/>
      <c r="H854" s="242" t="s">
        <v>112</v>
      </c>
      <c r="I854" s="150" t="s">
        <v>383</v>
      </c>
      <c r="J854" s="169" t="s">
        <v>250</v>
      </c>
      <c r="K854" s="179"/>
      <c r="L854" s="203" t="s">
        <v>383</v>
      </c>
      <c r="M854" s="169" t="s">
        <v>267</v>
      </c>
      <c r="N854" s="158"/>
      <c r="O854" s="158"/>
      <c r="P854" s="158"/>
      <c r="Q854" s="158"/>
      <c r="R854" s="158"/>
      <c r="S854" s="158"/>
      <c r="T854" s="158"/>
      <c r="U854" s="158"/>
      <c r="V854" s="158"/>
      <c r="W854" s="158"/>
      <c r="X854" s="166"/>
      <c r="Y854" s="154"/>
      <c r="Z854" s="147"/>
      <c r="AA854" s="147"/>
      <c r="AB854" s="148"/>
      <c r="AC854" s="732"/>
      <c r="AD854" s="732"/>
      <c r="AE854" s="732"/>
      <c r="AF854" s="732"/>
      <c r="AI854" s="109" t="str">
        <f>"52:ryouyoushoku_code:" &amp; IF(I854="■",1,IF(L854="■",2,0))</f>
        <v>52:ryouyoushoku_code:0</v>
      </c>
    </row>
    <row r="855" spans="1:36" s="109" customFormat="1" ht="18.75" customHeight="1" x14ac:dyDescent="0.2">
      <c r="A855" s="139"/>
      <c r="B855" s="123"/>
      <c r="C855" s="248"/>
      <c r="D855" s="249"/>
      <c r="E855" s="128"/>
      <c r="F855" s="142"/>
      <c r="G855" s="128"/>
      <c r="H855" s="242" t="s">
        <v>116</v>
      </c>
      <c r="I855" s="156" t="s">
        <v>383</v>
      </c>
      <c r="J855" s="157" t="s">
        <v>250</v>
      </c>
      <c r="K855" s="157"/>
      <c r="L855" s="160" t="s">
        <v>383</v>
      </c>
      <c r="M855" s="157" t="s">
        <v>251</v>
      </c>
      <c r="N855" s="157"/>
      <c r="O855" s="160" t="s">
        <v>383</v>
      </c>
      <c r="P855" s="157" t="s">
        <v>252</v>
      </c>
      <c r="Q855" s="162"/>
      <c r="R855" s="158"/>
      <c r="S855" s="158"/>
      <c r="T855" s="158"/>
      <c r="U855" s="158"/>
      <c r="V855" s="158"/>
      <c r="W855" s="158"/>
      <c r="X855" s="166"/>
      <c r="Y855" s="154"/>
      <c r="Z855" s="147"/>
      <c r="AA855" s="147"/>
      <c r="AB855" s="148"/>
      <c r="AC855" s="732"/>
      <c r="AD855" s="732"/>
      <c r="AE855" s="732"/>
      <c r="AF855" s="732"/>
      <c r="AI855" s="109" t="str">
        <f>"52:ninti_senmoncare_code:" &amp; IF(I855="■",1,IF(O855="■",3,IF(L855="■",2,0)))</f>
        <v>52:ninti_senmoncare_code:0</v>
      </c>
    </row>
    <row r="856" spans="1:36" s="109" customFormat="1" ht="18.75" customHeight="1" x14ac:dyDescent="0.2">
      <c r="A856" s="139"/>
      <c r="B856" s="123"/>
      <c r="C856" s="248"/>
      <c r="D856" s="249"/>
      <c r="E856" s="128"/>
      <c r="F856" s="142"/>
      <c r="G856" s="128"/>
      <c r="H856" s="242" t="s">
        <v>447</v>
      </c>
      <c r="I856" s="156" t="s">
        <v>383</v>
      </c>
      <c r="J856" s="157" t="s">
        <v>250</v>
      </c>
      <c r="K856" s="157"/>
      <c r="L856" s="160" t="s">
        <v>383</v>
      </c>
      <c r="M856" s="157" t="s">
        <v>251</v>
      </c>
      <c r="N856" s="157"/>
      <c r="O856" s="160" t="s">
        <v>383</v>
      </c>
      <c r="P856" s="157" t="s">
        <v>252</v>
      </c>
      <c r="Q856" s="158"/>
      <c r="R856" s="158"/>
      <c r="S856" s="158"/>
      <c r="T856" s="158"/>
      <c r="U856" s="158"/>
      <c r="V856" s="158"/>
      <c r="W856" s="158"/>
      <c r="X856" s="166"/>
      <c r="Y856" s="154"/>
      <c r="Z856" s="147"/>
      <c r="AA856" s="147"/>
      <c r="AB856" s="148"/>
      <c r="AC856" s="732"/>
      <c r="AD856" s="732"/>
      <c r="AE856" s="732"/>
      <c r="AF856" s="732"/>
      <c r="AI856" s="109" t="str">
        <f>"52:field228:" &amp; IF(I856="■",1,IF(L856="■",2,IF(O856="■",3,0)))</f>
        <v>52:field228:0</v>
      </c>
    </row>
    <row r="857" spans="1:36" s="109" customFormat="1" ht="18.75" customHeight="1" x14ac:dyDescent="0.2">
      <c r="A857" s="139"/>
      <c r="B857" s="123"/>
      <c r="C857" s="248"/>
      <c r="D857" s="249"/>
      <c r="E857" s="128"/>
      <c r="F857" s="142"/>
      <c r="G857" s="128"/>
      <c r="H857" s="242" t="s">
        <v>461</v>
      </c>
      <c r="I857" s="156" t="s">
        <v>383</v>
      </c>
      <c r="J857" s="157" t="s">
        <v>250</v>
      </c>
      <c r="K857" s="157"/>
      <c r="L857" s="160" t="s">
        <v>383</v>
      </c>
      <c r="M857" s="169" t="s">
        <v>267</v>
      </c>
      <c r="N857" s="157"/>
      <c r="O857" s="157"/>
      <c r="P857" s="157"/>
      <c r="Q857" s="158"/>
      <c r="R857" s="158"/>
      <c r="S857" s="158"/>
      <c r="T857" s="158"/>
      <c r="U857" s="158"/>
      <c r="V857" s="158"/>
      <c r="W857" s="158"/>
      <c r="X857" s="166"/>
      <c r="Y857" s="154"/>
      <c r="Z857" s="147"/>
      <c r="AA857" s="147"/>
      <c r="AB857" s="148"/>
      <c r="AC857" s="732"/>
      <c r="AD857" s="732"/>
      <c r="AE857" s="732"/>
      <c r="AF857" s="732"/>
      <c r="AI857" s="109" t="str">
        <f>"52:field226:" &amp; IF(I857="■",1,IF(L857="■",2,0))</f>
        <v>52:field226:0</v>
      </c>
    </row>
    <row r="858" spans="1:36" s="109" customFormat="1" ht="18.75" customHeight="1" x14ac:dyDescent="0.2">
      <c r="A858" s="139"/>
      <c r="B858" s="123"/>
      <c r="C858" s="248"/>
      <c r="D858" s="249"/>
      <c r="E858" s="128"/>
      <c r="F858" s="142"/>
      <c r="G858" s="128"/>
      <c r="H858" s="242" t="s">
        <v>462</v>
      </c>
      <c r="I858" s="156" t="s">
        <v>383</v>
      </c>
      <c r="J858" s="157" t="s">
        <v>250</v>
      </c>
      <c r="K858" s="157"/>
      <c r="L858" s="160" t="s">
        <v>383</v>
      </c>
      <c r="M858" s="169" t="s">
        <v>267</v>
      </c>
      <c r="N858" s="157"/>
      <c r="O858" s="157"/>
      <c r="P858" s="157"/>
      <c r="Q858" s="158"/>
      <c r="R858" s="158"/>
      <c r="S858" s="158"/>
      <c r="T858" s="158"/>
      <c r="U858" s="158"/>
      <c r="V858" s="158"/>
      <c r="W858" s="158"/>
      <c r="X858" s="166"/>
      <c r="Y858" s="154"/>
      <c r="Z858" s="147"/>
      <c r="AA858" s="147"/>
      <c r="AB858" s="148"/>
      <c r="AC858" s="732"/>
      <c r="AD858" s="732"/>
      <c r="AE858" s="732"/>
      <c r="AF858" s="732"/>
      <c r="AI858" s="109" t="str">
        <f>"52:field227:" &amp; IF(I858="■",1,IF(L858="■",2,0))</f>
        <v>52:field227:0</v>
      </c>
    </row>
    <row r="859" spans="1:36" s="109" customFormat="1" ht="18.75" customHeight="1" x14ac:dyDescent="0.2">
      <c r="A859" s="139"/>
      <c r="B859" s="123"/>
      <c r="C859" s="248"/>
      <c r="D859" s="249"/>
      <c r="E859" s="128"/>
      <c r="F859" s="142"/>
      <c r="G859" s="128"/>
      <c r="H859" s="250" t="s">
        <v>442</v>
      </c>
      <c r="I859" s="156" t="s">
        <v>383</v>
      </c>
      <c r="J859" s="157" t="s">
        <v>250</v>
      </c>
      <c r="K859" s="157"/>
      <c r="L859" s="160" t="s">
        <v>383</v>
      </c>
      <c r="M859" s="157" t="s">
        <v>251</v>
      </c>
      <c r="N859" s="157"/>
      <c r="O859" s="160" t="s">
        <v>383</v>
      </c>
      <c r="P859" s="157" t="s">
        <v>252</v>
      </c>
      <c r="Q859" s="162"/>
      <c r="R859" s="162"/>
      <c r="S859" s="162"/>
      <c r="T859" s="162"/>
      <c r="U859" s="251"/>
      <c r="V859" s="251"/>
      <c r="W859" s="251"/>
      <c r="X859" s="252"/>
      <c r="Y859" s="154"/>
      <c r="Z859" s="147"/>
      <c r="AA859" s="147"/>
      <c r="AB859" s="148"/>
      <c r="AC859" s="732"/>
      <c r="AD859" s="732"/>
      <c r="AE859" s="732"/>
      <c r="AF859" s="732"/>
      <c r="AI859" s="109" t="str">
        <f>"52:field225:" &amp; IF(I859="■",1,IF(L859="■",2,IF(O859="■",3,0)))</f>
        <v>52:field225:0</v>
      </c>
    </row>
    <row r="860" spans="1:36" s="109" customFormat="1" ht="18.75" customHeight="1" x14ac:dyDescent="0.2">
      <c r="A860" s="139"/>
      <c r="B860" s="123"/>
      <c r="C860" s="248"/>
      <c r="D860" s="249"/>
      <c r="E860" s="128"/>
      <c r="F860" s="142"/>
      <c r="G860" s="128"/>
      <c r="H860" s="242" t="s">
        <v>118</v>
      </c>
      <c r="I860" s="156" t="s">
        <v>383</v>
      </c>
      <c r="J860" s="157" t="s">
        <v>250</v>
      </c>
      <c r="K860" s="157"/>
      <c r="L860" s="160" t="s">
        <v>383</v>
      </c>
      <c r="M860" s="157" t="s">
        <v>258</v>
      </c>
      <c r="N860" s="157"/>
      <c r="O860" s="160" t="s">
        <v>383</v>
      </c>
      <c r="P860" s="157" t="s">
        <v>259</v>
      </c>
      <c r="Q860" s="207"/>
      <c r="R860" s="160" t="s">
        <v>383</v>
      </c>
      <c r="S860" s="157" t="s">
        <v>283</v>
      </c>
      <c r="T860" s="157"/>
      <c r="U860" s="157"/>
      <c r="V860" s="157"/>
      <c r="W860" s="157"/>
      <c r="X860" s="165"/>
      <c r="Y860" s="154"/>
      <c r="Z860" s="147"/>
      <c r="AA860" s="147"/>
      <c r="AB860" s="148"/>
      <c r="AC860" s="732"/>
      <c r="AD860" s="732"/>
      <c r="AE860" s="732"/>
      <c r="AF860" s="732"/>
      <c r="AI860" s="109" t="str">
        <f>"52:serteikyo_kyoka_code:" &amp; IF(I860="■",1,IF(L860="■",6,IF(O860="■",5,IF(R860="■",7,0))))</f>
        <v>52:serteikyo_kyoka_code:0</v>
      </c>
    </row>
    <row r="861" spans="1:36" s="621" customFormat="1" ht="18.75" customHeight="1" x14ac:dyDescent="0.2">
      <c r="A861" s="139"/>
      <c r="B861" s="670"/>
      <c r="C861" s="248"/>
      <c r="D861" s="249"/>
      <c r="E861" s="128"/>
      <c r="F861" s="142"/>
      <c r="G861" s="143"/>
      <c r="H861" s="713" t="s">
        <v>790</v>
      </c>
      <c r="I861" s="642" t="s">
        <v>383</v>
      </c>
      <c r="J861" s="616" t="s">
        <v>627</v>
      </c>
      <c r="K861" s="616"/>
      <c r="L861" s="615"/>
      <c r="M861" s="644" t="s">
        <v>383</v>
      </c>
      <c r="N861" s="616" t="s">
        <v>791</v>
      </c>
      <c r="O861" s="617"/>
      <c r="P861" s="615"/>
      <c r="Q861" s="644" t="s">
        <v>383</v>
      </c>
      <c r="R861" s="618" t="s">
        <v>802</v>
      </c>
      <c r="S861" s="615"/>
      <c r="T861" s="615"/>
      <c r="U861" s="615"/>
      <c r="V861" s="618"/>
      <c r="W861" s="619"/>
      <c r="X861" s="620"/>
      <c r="Y861" s="154"/>
      <c r="Z861" s="147"/>
      <c r="AA861" s="147"/>
      <c r="AB861" s="148"/>
      <c r="AC861" s="733"/>
      <c r="AD861" s="733"/>
      <c r="AE861" s="733"/>
      <c r="AF861" s="733"/>
    </row>
    <row r="862" spans="1:36" s="621" customFormat="1" ht="18.75" customHeight="1" x14ac:dyDescent="0.2">
      <c r="A862" s="139"/>
      <c r="B862" s="670"/>
      <c r="C862" s="248"/>
      <c r="D862" s="249"/>
      <c r="E862" s="128"/>
      <c r="F862" s="142"/>
      <c r="G862" s="143"/>
      <c r="H862" s="714"/>
      <c r="I862" s="643" t="s">
        <v>383</v>
      </c>
      <c r="J862" s="623" t="s">
        <v>803</v>
      </c>
      <c r="K862" s="623"/>
      <c r="L862" s="622"/>
      <c r="M862" s="211" t="s">
        <v>383</v>
      </c>
      <c r="N862" s="623" t="s">
        <v>804</v>
      </c>
      <c r="O862" s="624"/>
      <c r="P862" s="622"/>
      <c r="Q862" s="211" t="s">
        <v>383</v>
      </c>
      <c r="R862" s="623" t="s">
        <v>795</v>
      </c>
      <c r="S862" s="622"/>
      <c r="T862" s="623"/>
      <c r="U862" s="211" t="s">
        <v>383</v>
      </c>
      <c r="V862" s="623" t="s">
        <v>796</v>
      </c>
      <c r="W862" s="625"/>
      <c r="X862" s="626"/>
      <c r="Y862" s="154"/>
      <c r="Z862" s="147"/>
      <c r="AA862" s="147"/>
      <c r="AB862" s="148"/>
      <c r="AC862" s="733"/>
      <c r="AD862" s="733"/>
      <c r="AE862" s="733"/>
      <c r="AF862" s="733"/>
    </row>
    <row r="863" spans="1:36" s="109" customFormat="1" ht="18.75" customHeight="1" x14ac:dyDescent="0.2">
      <c r="A863" s="129"/>
      <c r="B863" s="116"/>
      <c r="C863" s="272"/>
      <c r="D863" s="273"/>
      <c r="E863" s="121"/>
      <c r="F863" s="132"/>
      <c r="G863" s="121"/>
      <c r="H863" s="778" t="s">
        <v>97</v>
      </c>
      <c r="I863" s="447" t="s">
        <v>383</v>
      </c>
      <c r="J863" s="448" t="s">
        <v>300</v>
      </c>
      <c r="K863" s="449"/>
      <c r="L863" s="451"/>
      <c r="M863" s="450" t="s">
        <v>383</v>
      </c>
      <c r="N863" s="448" t="s">
        <v>328</v>
      </c>
      <c r="O863" s="451"/>
      <c r="P863" s="451"/>
      <c r="Q863" s="450" t="s">
        <v>383</v>
      </c>
      <c r="R863" s="448" t="s">
        <v>329</v>
      </c>
      <c r="S863" s="451"/>
      <c r="T863" s="451"/>
      <c r="U863" s="450" t="s">
        <v>383</v>
      </c>
      <c r="V863" s="448" t="s">
        <v>330</v>
      </c>
      <c r="W863" s="451"/>
      <c r="X863" s="452"/>
      <c r="Y863" s="138" t="s">
        <v>383</v>
      </c>
      <c r="Z863" s="119" t="s">
        <v>249</v>
      </c>
      <c r="AA863" s="119"/>
      <c r="AB863" s="137"/>
      <c r="AC863" s="675"/>
      <c r="AD863" s="676"/>
      <c r="AE863" s="676"/>
      <c r="AF863" s="677"/>
      <c r="AG863" s="109" t="str">
        <f>"ser_code = '" &amp; IF(A879="■",55,"") &amp; "'"</f>
        <v>ser_code = ''</v>
      </c>
      <c r="AH863" s="109" t="str">
        <f>"55:jininkbn_code:" &amp; IF(F878="■",1,IF(F879="■",2,IF(F880="■",3,0)))</f>
        <v>55:jininkbn_code:0</v>
      </c>
      <c r="AI863" s="109" t="str">
        <f>"55:yakan_kinmu_code:" &amp; IF(I863="■",1,IF(M863="■",2,IF(Q863="■",3,IF(U863="■",7,IF(I864="■",5,IF(M864="■",6,0))))))</f>
        <v>55:yakan_kinmu_code:0</v>
      </c>
      <c r="AJ863" s="109" t="str">
        <f>"55:field203:" &amp; IF(Y863="■",1,IF(Y864="■",2,0))</f>
        <v>55:field203:0</v>
      </c>
    </row>
    <row r="864" spans="1:36" s="109" customFormat="1" ht="18.75" customHeight="1" x14ac:dyDescent="0.2">
      <c r="A864" s="139"/>
      <c r="B864" s="123"/>
      <c r="C864" s="248"/>
      <c r="D864" s="249"/>
      <c r="E864" s="128"/>
      <c r="F864" s="142"/>
      <c r="G864" s="128"/>
      <c r="H864" s="769"/>
      <c r="I864" s="400" t="s">
        <v>383</v>
      </c>
      <c r="J864" s="401" t="s">
        <v>331</v>
      </c>
      <c r="K864" s="453"/>
      <c r="L864" s="403"/>
      <c r="M864" s="402" t="s">
        <v>383</v>
      </c>
      <c r="N864" s="401" t="s">
        <v>301</v>
      </c>
      <c r="O864" s="403"/>
      <c r="P864" s="403"/>
      <c r="Q864" s="403"/>
      <c r="R864" s="403"/>
      <c r="S864" s="403"/>
      <c r="T864" s="403"/>
      <c r="U864" s="403"/>
      <c r="V864" s="403"/>
      <c r="W864" s="403"/>
      <c r="X864" s="404"/>
      <c r="Y864" s="125" t="s">
        <v>383</v>
      </c>
      <c r="Z864" s="126" t="s">
        <v>255</v>
      </c>
      <c r="AA864" s="147"/>
      <c r="AB864" s="148"/>
      <c r="AC864" s="678"/>
      <c r="AD864" s="679"/>
      <c r="AE864" s="679"/>
      <c r="AF864" s="680"/>
      <c r="AG864" s="109" t="str">
        <f>"55:sisetukbn_code:" &amp; IF(D879="■",1,0)</f>
        <v>55:sisetukbn_code:0</v>
      </c>
    </row>
    <row r="865" spans="1:35" s="109" customFormat="1" ht="18.75" customHeight="1" x14ac:dyDescent="0.2">
      <c r="A865" s="139"/>
      <c r="B865" s="123"/>
      <c r="C865" s="248"/>
      <c r="D865" s="249"/>
      <c r="E865" s="128"/>
      <c r="F865" s="142"/>
      <c r="G865" s="128"/>
      <c r="H865" s="767" t="s">
        <v>93</v>
      </c>
      <c r="I865" s="394" t="s">
        <v>383</v>
      </c>
      <c r="J865" s="395" t="s">
        <v>250</v>
      </c>
      <c r="K865" s="395"/>
      <c r="L865" s="398"/>
      <c r="M865" s="397" t="s">
        <v>383</v>
      </c>
      <c r="N865" s="395" t="s">
        <v>289</v>
      </c>
      <c r="O865" s="395"/>
      <c r="P865" s="398"/>
      <c r="Q865" s="397" t="s">
        <v>383</v>
      </c>
      <c r="R865" s="398" t="s">
        <v>372</v>
      </c>
      <c r="S865" s="398"/>
      <c r="T865" s="398"/>
      <c r="U865" s="397" t="s">
        <v>383</v>
      </c>
      <c r="V865" s="398" t="s">
        <v>373</v>
      </c>
      <c r="W865" s="424"/>
      <c r="X865" s="425"/>
      <c r="Y865" s="154"/>
      <c r="Z865" s="147"/>
      <c r="AA865" s="147"/>
      <c r="AB865" s="148"/>
      <c r="AC865" s="678"/>
      <c r="AD865" s="679"/>
      <c r="AE865" s="679"/>
      <c r="AF865" s="680"/>
      <c r="AI865" s="109" t="str">
        <f>"55:"&amp;IF(AND(I865="□",M865="□",Q865="□",U865="□",I866="□",M866="□"),"ketu_doctor_code:0",IF(I865="■","ketu_doctor_code:1:field197:1:ketu_kangos_code:1:ketu_kshoku_code:1:ketu_ksiensou_code:1",IF(M865="■","ketu_doctor_code:2","ketu_doctor_code:1")
&amp;IF(Q865="■",":field197:2",":field197:1")
&amp;IF(U865="■",":ketu_kangos_code:2",":ketu_kangos_code:1")
&amp;IF(I866="■",":ketu_kshoku_code:2",":ketu_kshoku_code:1")
&amp;IF(M866="■",":ketu_ksiensou_code:2",":ketu_ksiensou_code:1")))</f>
        <v>55:ketu_doctor_code:0</v>
      </c>
    </row>
    <row r="866" spans="1:35" s="109" customFormat="1" ht="18.75" customHeight="1" x14ac:dyDescent="0.2">
      <c r="A866" s="139"/>
      <c r="B866" s="123"/>
      <c r="C866" s="248"/>
      <c r="D866" s="249"/>
      <c r="E866" s="128"/>
      <c r="F866" s="142"/>
      <c r="G866" s="128"/>
      <c r="H866" s="769"/>
      <c r="I866" s="400" t="s">
        <v>383</v>
      </c>
      <c r="J866" s="403" t="s">
        <v>374</v>
      </c>
      <c r="K866" s="401"/>
      <c r="L866" s="403"/>
      <c r="M866" s="402" t="s">
        <v>383</v>
      </c>
      <c r="N866" s="401" t="s">
        <v>422</v>
      </c>
      <c r="O866" s="401"/>
      <c r="P866" s="403"/>
      <c r="Q866" s="403"/>
      <c r="R866" s="403"/>
      <c r="S866" s="403"/>
      <c r="T866" s="403"/>
      <c r="U866" s="403"/>
      <c r="V866" s="403"/>
      <c r="W866" s="426"/>
      <c r="X866" s="427"/>
      <c r="Y866" s="154"/>
      <c r="Z866" s="147"/>
      <c r="AA866" s="147"/>
      <c r="AB866" s="148"/>
      <c r="AC866" s="678"/>
      <c r="AD866" s="679"/>
      <c r="AE866" s="679"/>
      <c r="AF866" s="680"/>
    </row>
    <row r="867" spans="1:35" s="109" customFormat="1" ht="18.75" customHeight="1" x14ac:dyDescent="0.2">
      <c r="A867" s="139"/>
      <c r="B867" s="123"/>
      <c r="C867" s="248"/>
      <c r="D867" s="249"/>
      <c r="E867" s="128"/>
      <c r="F867" s="142"/>
      <c r="G867" s="128"/>
      <c r="H867" s="242" t="s">
        <v>107</v>
      </c>
      <c r="I867" s="156" t="s">
        <v>383</v>
      </c>
      <c r="J867" s="157" t="s">
        <v>395</v>
      </c>
      <c r="K867" s="158"/>
      <c r="L867" s="159"/>
      <c r="M867" s="160" t="s">
        <v>383</v>
      </c>
      <c r="N867" s="157" t="s">
        <v>396</v>
      </c>
      <c r="O867" s="162"/>
      <c r="P867" s="162"/>
      <c r="Q867" s="162"/>
      <c r="R867" s="162"/>
      <c r="S867" s="162"/>
      <c r="T867" s="162"/>
      <c r="U867" s="162"/>
      <c r="V867" s="162"/>
      <c r="W867" s="162"/>
      <c r="X867" s="163"/>
      <c r="Y867" s="154"/>
      <c r="Z867" s="147"/>
      <c r="AA867" s="147"/>
      <c r="AB867" s="148"/>
      <c r="AC867" s="678"/>
      <c r="AD867" s="679"/>
      <c r="AE867" s="679"/>
      <c r="AF867" s="680"/>
      <c r="AI867" s="109" t="str">
        <f>"55:sintaikousoku_code:" &amp; IF(I867="■",1,IF(M867="■",2,0))</f>
        <v>55:sintaikousoku_code:0</v>
      </c>
    </row>
    <row r="868" spans="1:35" s="109" customFormat="1" ht="18.75" customHeight="1" x14ac:dyDescent="0.2">
      <c r="A868" s="139"/>
      <c r="B868" s="123"/>
      <c r="C868" s="248"/>
      <c r="D868" s="249"/>
      <c r="E868" s="128"/>
      <c r="F868" s="142"/>
      <c r="G868" s="128"/>
      <c r="H868" s="242" t="s">
        <v>200</v>
      </c>
      <c r="I868" s="156" t="s">
        <v>383</v>
      </c>
      <c r="J868" s="157" t="s">
        <v>395</v>
      </c>
      <c r="K868" s="158"/>
      <c r="L868" s="159"/>
      <c r="M868" s="160" t="s">
        <v>383</v>
      </c>
      <c r="N868" s="157" t="s">
        <v>396</v>
      </c>
      <c r="O868" s="162"/>
      <c r="P868" s="162"/>
      <c r="Q868" s="162"/>
      <c r="R868" s="162"/>
      <c r="S868" s="162"/>
      <c r="T868" s="162"/>
      <c r="U868" s="162"/>
      <c r="V868" s="162"/>
      <c r="W868" s="162"/>
      <c r="X868" s="163"/>
      <c r="Y868" s="154"/>
      <c r="Z868" s="147"/>
      <c r="AA868" s="147"/>
      <c r="AB868" s="148"/>
      <c r="AC868" s="678"/>
      <c r="AD868" s="679"/>
      <c r="AE868" s="679"/>
      <c r="AF868" s="680"/>
      <c r="AI868" s="109" t="str">
        <f>"55:field208:" &amp; IF(I868="■",1,IF(M868="■",2,0))</f>
        <v>55:field208:0</v>
      </c>
    </row>
    <row r="869" spans="1:35" s="109" customFormat="1" ht="19.5" customHeight="1" x14ac:dyDescent="0.2">
      <c r="A869" s="139"/>
      <c r="B869" s="123"/>
      <c r="C869" s="140"/>
      <c r="D869" s="141"/>
      <c r="E869" s="128"/>
      <c r="F869" s="142"/>
      <c r="G869" s="143"/>
      <c r="H869" s="155" t="s">
        <v>430</v>
      </c>
      <c r="I869" s="156" t="s">
        <v>383</v>
      </c>
      <c r="J869" s="157" t="s">
        <v>395</v>
      </c>
      <c r="K869" s="158"/>
      <c r="L869" s="159"/>
      <c r="M869" s="160" t="s">
        <v>383</v>
      </c>
      <c r="N869" s="157" t="s">
        <v>431</v>
      </c>
      <c r="O869" s="161"/>
      <c r="P869" s="157"/>
      <c r="Q869" s="162"/>
      <c r="R869" s="162"/>
      <c r="S869" s="162"/>
      <c r="T869" s="162"/>
      <c r="U869" s="162"/>
      <c r="V869" s="162"/>
      <c r="W869" s="162"/>
      <c r="X869" s="163"/>
      <c r="Y869" s="147"/>
      <c r="Z869" s="147"/>
      <c r="AA869" s="147"/>
      <c r="AB869" s="148"/>
      <c r="AC869" s="678"/>
      <c r="AD869" s="679"/>
      <c r="AE869" s="679"/>
      <c r="AF869" s="680"/>
      <c r="AI869" s="109" t="str">
        <f>"55:field223:" &amp; IF(I869="■",1,IF(M869="■",2,0))</f>
        <v>55:field223:0</v>
      </c>
    </row>
    <row r="870" spans="1:35" s="109" customFormat="1" ht="19.5" customHeight="1" x14ac:dyDescent="0.2">
      <c r="A870" s="139"/>
      <c r="B870" s="123"/>
      <c r="C870" s="140"/>
      <c r="D870" s="141"/>
      <c r="E870" s="128"/>
      <c r="F870" s="142"/>
      <c r="G870" s="143"/>
      <c r="H870" s="155" t="s">
        <v>448</v>
      </c>
      <c r="I870" s="156" t="s">
        <v>383</v>
      </c>
      <c r="J870" s="157" t="s">
        <v>395</v>
      </c>
      <c r="K870" s="158"/>
      <c r="L870" s="159"/>
      <c r="M870" s="160" t="s">
        <v>383</v>
      </c>
      <c r="N870" s="157" t="s">
        <v>431</v>
      </c>
      <c r="O870" s="161"/>
      <c r="P870" s="157"/>
      <c r="Q870" s="162"/>
      <c r="R870" s="162"/>
      <c r="S870" s="162"/>
      <c r="T870" s="162"/>
      <c r="U870" s="162"/>
      <c r="V870" s="162"/>
      <c r="W870" s="162"/>
      <c r="X870" s="163"/>
      <c r="Y870" s="147"/>
      <c r="Z870" s="147"/>
      <c r="AA870" s="147"/>
      <c r="AB870" s="148"/>
      <c r="AC870" s="678"/>
      <c r="AD870" s="679"/>
      <c r="AE870" s="679"/>
      <c r="AF870" s="680"/>
      <c r="AI870" s="109" t="str">
        <f>"55:field232:" &amp; IF(I870="■",1,IF(M870="■",2,0))</f>
        <v>55:field232:0</v>
      </c>
    </row>
    <row r="871" spans="1:35" s="109" customFormat="1" ht="18.75" customHeight="1" x14ac:dyDescent="0.2">
      <c r="A871" s="139"/>
      <c r="B871" s="123"/>
      <c r="C871" s="248"/>
      <c r="D871" s="249"/>
      <c r="E871" s="128"/>
      <c r="F871" s="142"/>
      <c r="G871" s="128"/>
      <c r="H871" s="694" t="s">
        <v>202</v>
      </c>
      <c r="I871" s="709" t="s">
        <v>383</v>
      </c>
      <c r="J871" s="708" t="s">
        <v>250</v>
      </c>
      <c r="K871" s="708"/>
      <c r="L871" s="717" t="s">
        <v>383</v>
      </c>
      <c r="M871" s="708" t="s">
        <v>267</v>
      </c>
      <c r="N871" s="708"/>
      <c r="O871" s="172"/>
      <c r="P871" s="172"/>
      <c r="Q871" s="172"/>
      <c r="R871" s="172"/>
      <c r="S871" s="172"/>
      <c r="T871" s="172"/>
      <c r="U871" s="172"/>
      <c r="V871" s="172"/>
      <c r="W871" s="172"/>
      <c r="X871" s="209"/>
      <c r="Y871" s="154"/>
      <c r="Z871" s="147"/>
      <c r="AA871" s="147"/>
      <c r="AB871" s="148"/>
      <c r="AC871" s="678"/>
      <c r="AD871" s="679"/>
      <c r="AE871" s="679"/>
      <c r="AF871" s="680"/>
      <c r="AI871" s="109" t="str">
        <f>"55:field206:" &amp; IF(I871="■",1,IF(L871="■",2,0))</f>
        <v>55:field206:0</v>
      </c>
    </row>
    <row r="872" spans="1:35" s="109" customFormat="1" ht="18.75" customHeight="1" x14ac:dyDescent="0.2">
      <c r="A872" s="139"/>
      <c r="B872" s="123"/>
      <c r="C872" s="248"/>
      <c r="D872" s="249"/>
      <c r="E872" s="128"/>
      <c r="F872" s="142"/>
      <c r="G872" s="128"/>
      <c r="H872" s="693"/>
      <c r="I872" s="710"/>
      <c r="J872" s="698"/>
      <c r="K872" s="698"/>
      <c r="L872" s="718"/>
      <c r="M872" s="698"/>
      <c r="N872" s="698"/>
      <c r="O872" s="151"/>
      <c r="P872" s="151"/>
      <c r="Q872" s="151"/>
      <c r="R872" s="151"/>
      <c r="S872" s="151"/>
      <c r="T872" s="151"/>
      <c r="U872" s="151"/>
      <c r="V872" s="151"/>
      <c r="W872" s="151"/>
      <c r="X872" s="238"/>
      <c r="Y872" s="154"/>
      <c r="Z872" s="147"/>
      <c r="AA872" s="147"/>
      <c r="AB872" s="148"/>
      <c r="AC872" s="678"/>
      <c r="AD872" s="679"/>
      <c r="AE872" s="679"/>
      <c r="AF872" s="680"/>
    </row>
    <row r="873" spans="1:35" s="109" customFormat="1" ht="18.75" customHeight="1" x14ac:dyDescent="0.2">
      <c r="A873" s="139"/>
      <c r="B873" s="123"/>
      <c r="C873" s="248"/>
      <c r="D873" s="249"/>
      <c r="E873" s="128"/>
      <c r="F873" s="142"/>
      <c r="G873" s="128"/>
      <c r="H873" s="242" t="s">
        <v>164</v>
      </c>
      <c r="I873" s="156" t="s">
        <v>383</v>
      </c>
      <c r="J873" s="157" t="s">
        <v>420</v>
      </c>
      <c r="K873" s="158"/>
      <c r="L873" s="159"/>
      <c r="M873" s="160" t="s">
        <v>383</v>
      </c>
      <c r="N873" s="157" t="s">
        <v>332</v>
      </c>
      <c r="O873" s="162"/>
      <c r="P873" s="162"/>
      <c r="Q873" s="162"/>
      <c r="R873" s="162"/>
      <c r="S873" s="162"/>
      <c r="T873" s="162"/>
      <c r="U873" s="162"/>
      <c r="V873" s="162"/>
      <c r="W873" s="162"/>
      <c r="X873" s="163"/>
      <c r="Y873" s="154"/>
      <c r="Z873" s="147"/>
      <c r="AA873" s="147"/>
      <c r="AB873" s="148"/>
      <c r="AC873" s="678"/>
      <c r="AD873" s="679"/>
      <c r="AE873" s="679"/>
      <c r="AF873" s="680"/>
      <c r="AI873" s="109" t="str">
        <f>"55:field190:" &amp; IF(I873="■",1,IF(M873="■",2,0))</f>
        <v>55:field190:0</v>
      </c>
    </row>
    <row r="874" spans="1:35" s="109" customFormat="1" ht="18.75" customHeight="1" x14ac:dyDescent="0.2">
      <c r="A874" s="139"/>
      <c r="B874" s="123"/>
      <c r="C874" s="248"/>
      <c r="D874" s="249"/>
      <c r="E874" s="128"/>
      <c r="F874" s="142"/>
      <c r="G874" s="128"/>
      <c r="H874" s="242" t="s">
        <v>165</v>
      </c>
      <c r="I874" s="156" t="s">
        <v>383</v>
      </c>
      <c r="J874" s="157" t="s">
        <v>420</v>
      </c>
      <c r="K874" s="158"/>
      <c r="L874" s="159"/>
      <c r="M874" s="160" t="s">
        <v>383</v>
      </c>
      <c r="N874" s="157" t="s">
        <v>332</v>
      </c>
      <c r="O874" s="162"/>
      <c r="P874" s="162"/>
      <c r="Q874" s="162"/>
      <c r="R874" s="162"/>
      <c r="S874" s="162"/>
      <c r="T874" s="162"/>
      <c r="U874" s="162"/>
      <c r="V874" s="162"/>
      <c r="W874" s="162"/>
      <c r="X874" s="163"/>
      <c r="Y874" s="154"/>
      <c r="Z874" s="147"/>
      <c r="AA874" s="147"/>
      <c r="AB874" s="148"/>
      <c r="AC874" s="678"/>
      <c r="AD874" s="679"/>
      <c r="AE874" s="679"/>
      <c r="AF874" s="680"/>
      <c r="AI874" s="109" t="str">
        <f>"55:field191:" &amp; IF(I874="■",1,IF(M874="■",2,0))</f>
        <v>55:field191:0</v>
      </c>
    </row>
    <row r="875" spans="1:35" s="109" customFormat="1" ht="18.75" customHeight="1" x14ac:dyDescent="0.2">
      <c r="A875" s="139"/>
      <c r="B875" s="123"/>
      <c r="C875" s="248"/>
      <c r="D875" s="249"/>
      <c r="E875" s="128"/>
      <c r="F875" s="142"/>
      <c r="G875" s="128"/>
      <c r="H875" s="242" t="s">
        <v>122</v>
      </c>
      <c r="I875" s="150" t="s">
        <v>383</v>
      </c>
      <c r="J875" s="169" t="s">
        <v>250</v>
      </c>
      <c r="K875" s="179"/>
      <c r="L875" s="203" t="s">
        <v>383</v>
      </c>
      <c r="M875" s="169" t="s">
        <v>267</v>
      </c>
      <c r="N875" s="207"/>
      <c r="O875" s="162"/>
      <c r="P875" s="162"/>
      <c r="Q875" s="162"/>
      <c r="R875" s="162"/>
      <c r="S875" s="162"/>
      <c r="T875" s="162"/>
      <c r="U875" s="162"/>
      <c r="V875" s="162"/>
      <c r="W875" s="162"/>
      <c r="X875" s="163"/>
      <c r="Y875" s="154"/>
      <c r="Z875" s="147"/>
      <c r="AA875" s="147"/>
      <c r="AB875" s="148"/>
      <c r="AC875" s="678"/>
      <c r="AD875" s="679"/>
      <c r="AE875" s="679"/>
      <c r="AF875" s="680"/>
      <c r="AI875" s="109" t="str">
        <f>"55:jyakuninti_uke_code:" &amp; IF(I875="■",1,IF(L875="■",2,0))</f>
        <v>55:jyakuninti_uke_code:0</v>
      </c>
    </row>
    <row r="876" spans="1:35" s="109" customFormat="1" ht="18.75" customHeight="1" x14ac:dyDescent="0.2">
      <c r="A876" s="139"/>
      <c r="B876" s="123"/>
      <c r="C876" s="248"/>
      <c r="D876" s="249"/>
      <c r="E876" s="128"/>
      <c r="F876" s="142"/>
      <c r="G876" s="128"/>
      <c r="H876" s="242" t="s">
        <v>199</v>
      </c>
      <c r="I876" s="150" t="s">
        <v>383</v>
      </c>
      <c r="J876" s="169" t="s">
        <v>250</v>
      </c>
      <c r="K876" s="179"/>
      <c r="L876" s="203" t="s">
        <v>383</v>
      </c>
      <c r="M876" s="169" t="s">
        <v>267</v>
      </c>
      <c r="N876" s="207"/>
      <c r="O876" s="162"/>
      <c r="P876" s="162"/>
      <c r="Q876" s="162"/>
      <c r="R876" s="162"/>
      <c r="S876" s="162"/>
      <c r="T876" s="162"/>
      <c r="U876" s="162"/>
      <c r="V876" s="162"/>
      <c r="W876" s="162"/>
      <c r="X876" s="163"/>
      <c r="Y876" s="154"/>
      <c r="Z876" s="147"/>
      <c r="AA876" s="147"/>
      <c r="AB876" s="148"/>
      <c r="AC876" s="678"/>
      <c r="AD876" s="679"/>
      <c r="AE876" s="679"/>
      <c r="AF876" s="680"/>
      <c r="AI876" s="109" t="str">
        <f>"55:field207:" &amp; IF(I876="■",1,IF(L876="■",2,0))</f>
        <v>55:field207:0</v>
      </c>
    </row>
    <row r="877" spans="1:35" s="109" customFormat="1" ht="18.75" customHeight="1" x14ac:dyDescent="0.2">
      <c r="A877" s="139"/>
      <c r="B877" s="123"/>
      <c r="C877" s="248"/>
      <c r="D877" s="249"/>
      <c r="E877" s="128"/>
      <c r="F877" s="142"/>
      <c r="G877" s="128"/>
      <c r="H877" s="242" t="s">
        <v>112</v>
      </c>
      <c r="I877" s="150" t="s">
        <v>383</v>
      </c>
      <c r="J877" s="169" t="s">
        <v>250</v>
      </c>
      <c r="K877" s="179"/>
      <c r="L877" s="203" t="s">
        <v>383</v>
      </c>
      <c r="M877" s="169" t="s">
        <v>267</v>
      </c>
      <c r="N877" s="207"/>
      <c r="O877" s="162"/>
      <c r="P877" s="162"/>
      <c r="Q877" s="162"/>
      <c r="R877" s="162"/>
      <c r="S877" s="162"/>
      <c r="T877" s="162"/>
      <c r="U877" s="162"/>
      <c r="V877" s="162"/>
      <c r="W877" s="162"/>
      <c r="X877" s="163"/>
      <c r="Y877" s="154"/>
      <c r="Z877" s="147"/>
      <c r="AA877" s="147"/>
      <c r="AB877" s="148"/>
      <c r="AC877" s="678"/>
      <c r="AD877" s="679"/>
      <c r="AE877" s="679"/>
      <c r="AF877" s="680"/>
      <c r="AI877" s="109" t="str">
        <f>"55:ryouyoushoku_code:" &amp; IF(I877="■",1,IF(L877="■",2,0))</f>
        <v>55:ryouyoushoku_code:0</v>
      </c>
    </row>
    <row r="878" spans="1:35" s="109" customFormat="1" ht="18.75" customHeight="1" x14ac:dyDescent="0.2">
      <c r="A878" s="139"/>
      <c r="B878" s="123"/>
      <c r="C878" s="248"/>
      <c r="D878" s="249"/>
      <c r="E878" s="128"/>
      <c r="F878" s="125" t="s">
        <v>383</v>
      </c>
      <c r="G878" s="128" t="s">
        <v>368</v>
      </c>
      <c r="H878" s="741" t="s">
        <v>152</v>
      </c>
      <c r="I878" s="175" t="s">
        <v>383</v>
      </c>
      <c r="J878" s="168" t="s">
        <v>320</v>
      </c>
      <c r="K878" s="168"/>
      <c r="L878" s="251"/>
      <c r="M878" s="251"/>
      <c r="N878" s="251"/>
      <c r="O878" s="251"/>
      <c r="P878" s="206" t="s">
        <v>383</v>
      </c>
      <c r="Q878" s="168" t="s">
        <v>321</v>
      </c>
      <c r="R878" s="251"/>
      <c r="S878" s="251"/>
      <c r="T878" s="251"/>
      <c r="U878" s="251"/>
      <c r="V878" s="251"/>
      <c r="W878" s="251"/>
      <c r="X878" s="252"/>
      <c r="Y878" s="154"/>
      <c r="Z878" s="147"/>
      <c r="AA878" s="147"/>
      <c r="AB878" s="148"/>
      <c r="AC878" s="678"/>
      <c r="AD878" s="679"/>
      <c r="AE878" s="679"/>
      <c r="AF878" s="680"/>
      <c r="AI878" s="109"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09" customFormat="1" ht="18.75" customHeight="1" x14ac:dyDescent="0.2">
      <c r="A879" s="125" t="s">
        <v>383</v>
      </c>
      <c r="B879" s="123">
        <v>55</v>
      </c>
      <c r="C879" s="248" t="s">
        <v>141</v>
      </c>
      <c r="D879" s="125" t="s">
        <v>383</v>
      </c>
      <c r="E879" s="128" t="s">
        <v>371</v>
      </c>
      <c r="F879" s="125" t="s">
        <v>383</v>
      </c>
      <c r="G879" s="128" t="s">
        <v>369</v>
      </c>
      <c r="H879" s="742"/>
      <c r="I879" s="150" t="s">
        <v>383</v>
      </c>
      <c r="J879" s="169" t="s">
        <v>334</v>
      </c>
      <c r="K879" s="152"/>
      <c r="L879" s="152"/>
      <c r="M879" s="152"/>
      <c r="N879" s="152"/>
      <c r="O879" s="152"/>
      <c r="P879" s="152"/>
      <c r="Q879" s="151"/>
      <c r="R879" s="152"/>
      <c r="S879" s="152"/>
      <c r="T879" s="152"/>
      <c r="U879" s="152"/>
      <c r="V879" s="152"/>
      <c r="W879" s="152"/>
      <c r="X879" s="153"/>
      <c r="Y879" s="154"/>
      <c r="Z879" s="147"/>
      <c r="AA879" s="147"/>
      <c r="AB879" s="148"/>
      <c r="AC879" s="678"/>
      <c r="AD879" s="679"/>
      <c r="AE879" s="679"/>
      <c r="AF879" s="680"/>
    </row>
    <row r="880" spans="1:35" s="109" customFormat="1" ht="18.75" customHeight="1" x14ac:dyDescent="0.2">
      <c r="A880" s="139"/>
      <c r="B880" s="123"/>
      <c r="C880" s="248"/>
      <c r="D880" s="249"/>
      <c r="E880" s="128"/>
      <c r="F880" s="125" t="s">
        <v>383</v>
      </c>
      <c r="G880" s="128" t="s">
        <v>423</v>
      </c>
      <c r="H880" s="741" t="s">
        <v>103</v>
      </c>
      <c r="I880" s="175" t="s">
        <v>383</v>
      </c>
      <c r="J880" s="168" t="s">
        <v>335</v>
      </c>
      <c r="K880" s="181"/>
      <c r="L880" s="214"/>
      <c r="M880" s="206" t="s">
        <v>383</v>
      </c>
      <c r="N880" s="168" t="s">
        <v>336</v>
      </c>
      <c r="O880" s="251"/>
      <c r="P880" s="251"/>
      <c r="Q880" s="206" t="s">
        <v>383</v>
      </c>
      <c r="R880" s="168" t="s">
        <v>337</v>
      </c>
      <c r="S880" s="251"/>
      <c r="T880" s="251"/>
      <c r="U880" s="251"/>
      <c r="V880" s="251"/>
      <c r="W880" s="251"/>
      <c r="X880" s="252"/>
      <c r="Y880" s="154"/>
      <c r="Z880" s="147"/>
      <c r="AA880" s="147"/>
      <c r="AB880" s="148"/>
      <c r="AC880" s="678"/>
      <c r="AD880" s="679"/>
      <c r="AE880" s="679"/>
      <c r="AF880" s="680"/>
      <c r="AI880" s="109"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09" customFormat="1" ht="18.75" customHeight="1" x14ac:dyDescent="0.2">
      <c r="A881" s="139"/>
      <c r="B881" s="123"/>
      <c r="C881" s="248"/>
      <c r="D881" s="249"/>
      <c r="E881" s="128"/>
      <c r="F881" s="249"/>
      <c r="G881" s="128"/>
      <c r="H881" s="742"/>
      <c r="I881" s="150" t="s">
        <v>383</v>
      </c>
      <c r="J881" s="169" t="s">
        <v>338</v>
      </c>
      <c r="K881" s="152"/>
      <c r="L881" s="152"/>
      <c r="M881" s="152"/>
      <c r="N881" s="152"/>
      <c r="O881" s="152"/>
      <c r="P881" s="152"/>
      <c r="Q881" s="203" t="s">
        <v>383</v>
      </c>
      <c r="R881" s="169" t="s">
        <v>339</v>
      </c>
      <c r="S881" s="151"/>
      <c r="T881" s="152"/>
      <c r="U881" s="152"/>
      <c r="V881" s="152"/>
      <c r="W881" s="152"/>
      <c r="X881" s="153"/>
      <c r="Y881" s="154"/>
      <c r="Z881" s="147"/>
      <c r="AA881" s="147"/>
      <c r="AB881" s="148"/>
      <c r="AC881" s="678"/>
      <c r="AD881" s="679"/>
      <c r="AE881" s="679"/>
      <c r="AF881" s="680"/>
    </row>
    <row r="882" spans="1:35" s="109" customFormat="1" ht="18.75" customHeight="1" x14ac:dyDescent="0.2">
      <c r="A882" s="139"/>
      <c r="B882" s="123"/>
      <c r="C882" s="248"/>
      <c r="D882" s="249"/>
      <c r="E882" s="128"/>
      <c r="F882" s="249"/>
      <c r="G882" s="128"/>
      <c r="H882" s="694" t="s">
        <v>452</v>
      </c>
      <c r="I882" s="709" t="s">
        <v>383</v>
      </c>
      <c r="J882" s="708" t="s">
        <v>250</v>
      </c>
      <c r="K882" s="708"/>
      <c r="L882" s="717" t="s">
        <v>383</v>
      </c>
      <c r="M882" s="708" t="s">
        <v>453</v>
      </c>
      <c r="N882" s="708"/>
      <c r="O882" s="708"/>
      <c r="P882" s="717" t="s">
        <v>383</v>
      </c>
      <c r="Q882" s="708" t="s">
        <v>454</v>
      </c>
      <c r="R882" s="708"/>
      <c r="S882" s="708"/>
      <c r="T882" s="717" t="s">
        <v>383</v>
      </c>
      <c r="U882" s="708" t="s">
        <v>455</v>
      </c>
      <c r="V882" s="708"/>
      <c r="W882" s="708"/>
      <c r="X882" s="779"/>
      <c r="Y882" s="154"/>
      <c r="Z882" s="147"/>
      <c r="AA882" s="147"/>
      <c r="AB882" s="148"/>
      <c r="AC882" s="678"/>
      <c r="AD882" s="679"/>
      <c r="AE882" s="679"/>
      <c r="AF882" s="680"/>
      <c r="AI882" s="109" t="str">
        <f>"55:"&amp;IF(AND(I882="□",L882="□",P882="□",T882="□"),"field236:0:field237:0:field238:0",IF(I882="■","field236:1:field237:1:field238:1",IF(L882="■","field236:2","field236:1")
&amp;IF(P882="■",":field237:2",":field237:1")
&amp;IF(T882="■",":field238:2",":field238:1")))</f>
        <v>55:field236:0:field237:0:field238:0</v>
      </c>
    </row>
    <row r="883" spans="1:35" s="109" customFormat="1" ht="18.75" customHeight="1" x14ac:dyDescent="0.2">
      <c r="A883" s="139"/>
      <c r="B883" s="123"/>
      <c r="C883" s="248"/>
      <c r="D883" s="249"/>
      <c r="E883" s="128"/>
      <c r="F883" s="142"/>
      <c r="G883" s="128"/>
      <c r="H883" s="693"/>
      <c r="I883" s="710"/>
      <c r="J883" s="698"/>
      <c r="K883" s="698"/>
      <c r="L883" s="718"/>
      <c r="M883" s="698"/>
      <c r="N883" s="698"/>
      <c r="O883" s="698"/>
      <c r="P883" s="718"/>
      <c r="Q883" s="698"/>
      <c r="R883" s="698"/>
      <c r="S883" s="698"/>
      <c r="T883" s="718"/>
      <c r="U883" s="698"/>
      <c r="V883" s="698"/>
      <c r="W883" s="698"/>
      <c r="X883" s="780"/>
      <c r="Y883" s="154"/>
      <c r="Z883" s="147"/>
      <c r="AA883" s="147"/>
      <c r="AB883" s="148"/>
      <c r="AC883" s="678"/>
      <c r="AD883" s="679"/>
      <c r="AE883" s="679"/>
      <c r="AF883" s="680"/>
    </row>
    <row r="884" spans="1:35" s="109" customFormat="1" ht="18.75" customHeight="1" x14ac:dyDescent="0.2">
      <c r="A884" s="139"/>
      <c r="B884" s="123"/>
      <c r="C884" s="248"/>
      <c r="D884" s="249"/>
      <c r="E884" s="128"/>
      <c r="F884" s="142"/>
      <c r="G884" s="128"/>
      <c r="H884" s="164" t="s">
        <v>120</v>
      </c>
      <c r="I884" s="150" t="s">
        <v>383</v>
      </c>
      <c r="J884" s="169" t="s">
        <v>250</v>
      </c>
      <c r="K884" s="179"/>
      <c r="L884" s="203" t="s">
        <v>383</v>
      </c>
      <c r="M884" s="169" t="s">
        <v>267</v>
      </c>
      <c r="N884" s="207"/>
      <c r="O884" s="162"/>
      <c r="P884" s="162"/>
      <c r="Q884" s="162"/>
      <c r="R884" s="162"/>
      <c r="S884" s="162"/>
      <c r="T884" s="162"/>
      <c r="U884" s="162"/>
      <c r="V884" s="162"/>
      <c r="W884" s="162"/>
      <c r="X884" s="163"/>
      <c r="Y884" s="154"/>
      <c r="Z884" s="147"/>
      <c r="AA884" s="147"/>
      <c r="AB884" s="148"/>
      <c r="AC884" s="678"/>
      <c r="AD884" s="679"/>
      <c r="AE884" s="679"/>
      <c r="AF884" s="680"/>
      <c r="AI884" s="109" t="str">
        <f>"55:ninti_riha_code:" &amp; IF(I884="■",1,IF(L884="■",2,0))</f>
        <v>55:ninti_riha_code:0</v>
      </c>
    </row>
    <row r="885" spans="1:35" s="109" customFormat="1" ht="18.75" customHeight="1" x14ac:dyDescent="0.2">
      <c r="A885" s="139"/>
      <c r="B885" s="123"/>
      <c r="C885" s="248"/>
      <c r="D885" s="249"/>
      <c r="E885" s="128"/>
      <c r="F885" s="142"/>
      <c r="G885" s="128"/>
      <c r="H885" s="242" t="s">
        <v>116</v>
      </c>
      <c r="I885" s="156" t="s">
        <v>383</v>
      </c>
      <c r="J885" s="157" t="s">
        <v>250</v>
      </c>
      <c r="K885" s="157"/>
      <c r="L885" s="160" t="s">
        <v>383</v>
      </c>
      <c r="M885" s="157" t="s">
        <v>251</v>
      </c>
      <c r="N885" s="157"/>
      <c r="O885" s="160" t="s">
        <v>383</v>
      </c>
      <c r="P885" s="157" t="s">
        <v>252</v>
      </c>
      <c r="Q885" s="162"/>
      <c r="R885" s="162"/>
      <c r="S885" s="162"/>
      <c r="T885" s="162"/>
      <c r="U885" s="162"/>
      <c r="V885" s="162"/>
      <c r="W885" s="162"/>
      <c r="X885" s="163"/>
      <c r="Y885" s="154"/>
      <c r="Z885" s="147"/>
      <c r="AA885" s="147"/>
      <c r="AB885" s="148"/>
      <c r="AC885" s="678"/>
      <c r="AD885" s="679"/>
      <c r="AE885" s="679"/>
      <c r="AF885" s="680"/>
      <c r="AI885" s="109" t="str">
        <f>"55:ninti_senmoncare_code:" &amp; IF(I885="■",1,IF(O885="■",3,IF(L885="■",2,0)))</f>
        <v>55:ninti_senmoncare_code:0</v>
      </c>
    </row>
    <row r="886" spans="1:35" s="109" customFormat="1" ht="18.75" customHeight="1" x14ac:dyDescent="0.2">
      <c r="A886" s="139"/>
      <c r="B886" s="123"/>
      <c r="C886" s="248"/>
      <c r="D886" s="249"/>
      <c r="E886" s="128"/>
      <c r="F886" s="142"/>
      <c r="G886" s="128"/>
      <c r="H886" s="242" t="s">
        <v>447</v>
      </c>
      <c r="I886" s="156" t="s">
        <v>383</v>
      </c>
      <c r="J886" s="157" t="s">
        <v>250</v>
      </c>
      <c r="K886" s="157"/>
      <c r="L886" s="160" t="s">
        <v>383</v>
      </c>
      <c r="M886" s="157" t="s">
        <v>251</v>
      </c>
      <c r="N886" s="157"/>
      <c r="O886" s="160" t="s">
        <v>383</v>
      </c>
      <c r="P886" s="157" t="s">
        <v>252</v>
      </c>
      <c r="Q886" s="158"/>
      <c r="R886" s="158"/>
      <c r="S886" s="158"/>
      <c r="T886" s="158"/>
      <c r="U886" s="158"/>
      <c r="V886" s="158"/>
      <c r="W886" s="158"/>
      <c r="X886" s="166"/>
      <c r="Y886" s="154"/>
      <c r="Z886" s="147"/>
      <c r="AA886" s="147"/>
      <c r="AB886" s="148"/>
      <c r="AC886" s="678"/>
      <c r="AD886" s="679"/>
      <c r="AE886" s="679"/>
      <c r="AF886" s="680"/>
      <c r="AI886" s="109" t="str">
        <f>"55:field228:" &amp; IF(I886="■",1,IF(L886="■",2,IF(O886="■",3,0)))</f>
        <v>55:field228:0</v>
      </c>
    </row>
    <row r="887" spans="1:35" s="109" customFormat="1" ht="18.75" customHeight="1" x14ac:dyDescent="0.2">
      <c r="A887" s="139"/>
      <c r="B887" s="123"/>
      <c r="C887" s="248"/>
      <c r="D887" s="249"/>
      <c r="E887" s="128"/>
      <c r="F887" s="142"/>
      <c r="G887" s="128"/>
      <c r="H887" s="242" t="s">
        <v>142</v>
      </c>
      <c r="I887" s="156" t="s">
        <v>383</v>
      </c>
      <c r="J887" s="157" t="s">
        <v>250</v>
      </c>
      <c r="K887" s="157"/>
      <c r="L887" s="160" t="s">
        <v>383</v>
      </c>
      <c r="M887" s="157" t="s">
        <v>251</v>
      </c>
      <c r="N887" s="157"/>
      <c r="O887" s="160" t="s">
        <v>383</v>
      </c>
      <c r="P887" s="157" t="s">
        <v>252</v>
      </c>
      <c r="Q887" s="162"/>
      <c r="R887" s="207"/>
      <c r="S887" s="207"/>
      <c r="T887" s="207"/>
      <c r="U887" s="207"/>
      <c r="V887" s="207"/>
      <c r="W887" s="207"/>
      <c r="X887" s="208"/>
      <c r="Y887" s="154"/>
      <c r="Z887" s="147"/>
      <c r="AA887" s="147"/>
      <c r="AB887" s="148"/>
      <c r="AC887" s="678"/>
      <c r="AD887" s="679"/>
      <c r="AE887" s="679"/>
      <c r="AF887" s="680"/>
      <c r="AI887" s="109" t="str">
        <f>"55:field164:" &amp; IF(I887="■",1,IF(L887="■",2,IF(O887="■",3,0)))</f>
        <v>55:field164:0</v>
      </c>
    </row>
    <row r="888" spans="1:35" s="109" customFormat="1" ht="18.75" customHeight="1" x14ac:dyDescent="0.2">
      <c r="A888" s="139"/>
      <c r="B888" s="123"/>
      <c r="C888" s="248"/>
      <c r="D888" s="249"/>
      <c r="E888" s="128"/>
      <c r="F888" s="142"/>
      <c r="G888" s="128"/>
      <c r="H888" s="239" t="s">
        <v>198</v>
      </c>
      <c r="I888" s="150" t="s">
        <v>383</v>
      </c>
      <c r="J888" s="169" t="s">
        <v>250</v>
      </c>
      <c r="K888" s="179"/>
      <c r="L888" s="203" t="s">
        <v>383</v>
      </c>
      <c r="M888" s="169" t="s">
        <v>267</v>
      </c>
      <c r="N888" s="207"/>
      <c r="O888" s="162"/>
      <c r="P888" s="162"/>
      <c r="Q888" s="162"/>
      <c r="R888" s="162"/>
      <c r="S888" s="162"/>
      <c r="T888" s="162"/>
      <c r="U888" s="162"/>
      <c r="V888" s="162"/>
      <c r="W888" s="162"/>
      <c r="X888" s="163"/>
      <c r="Y888" s="154"/>
      <c r="Z888" s="147"/>
      <c r="AA888" s="147"/>
      <c r="AB888" s="148"/>
      <c r="AC888" s="678"/>
      <c r="AD888" s="679"/>
      <c r="AE888" s="679"/>
      <c r="AF888" s="680"/>
      <c r="AI888" s="109" t="str">
        <f>"55:field210:" &amp; IF(I888="■",1,IF(L888="■",2,0))</f>
        <v>55:field210:0</v>
      </c>
    </row>
    <row r="889" spans="1:35" s="109" customFormat="1" ht="18.75" customHeight="1" x14ac:dyDescent="0.2">
      <c r="A889" s="139"/>
      <c r="B889" s="123"/>
      <c r="C889" s="248"/>
      <c r="D889" s="249"/>
      <c r="E889" s="128"/>
      <c r="F889" s="142"/>
      <c r="G889" s="128"/>
      <c r="H889" s="242" t="s">
        <v>225</v>
      </c>
      <c r="I889" s="150" t="s">
        <v>383</v>
      </c>
      <c r="J889" s="169" t="s">
        <v>250</v>
      </c>
      <c r="K889" s="179"/>
      <c r="L889" s="203" t="s">
        <v>383</v>
      </c>
      <c r="M889" s="169" t="s">
        <v>267</v>
      </c>
      <c r="N889" s="207"/>
      <c r="O889" s="162"/>
      <c r="P889" s="162"/>
      <c r="Q889" s="162"/>
      <c r="R889" s="162"/>
      <c r="S889" s="162"/>
      <c r="T889" s="162"/>
      <c r="U889" s="162"/>
      <c r="V889" s="162"/>
      <c r="W889" s="162"/>
      <c r="X889" s="163"/>
      <c r="Y889" s="154"/>
      <c r="Z889" s="147"/>
      <c r="AA889" s="147"/>
      <c r="AB889" s="148"/>
      <c r="AC889" s="678"/>
      <c r="AD889" s="679"/>
      <c r="AE889" s="679"/>
      <c r="AF889" s="680"/>
      <c r="AI889" s="109" t="str">
        <f>"55:field211:" &amp; IF(I889="■",1,IF(L889="■",2,0))</f>
        <v>55:field211:0</v>
      </c>
    </row>
    <row r="890" spans="1:35" s="109" customFormat="1" ht="18.75" customHeight="1" x14ac:dyDescent="0.2">
      <c r="A890" s="139"/>
      <c r="B890" s="123"/>
      <c r="C890" s="248"/>
      <c r="D890" s="249"/>
      <c r="E890" s="128"/>
      <c r="F890" s="142"/>
      <c r="G890" s="128"/>
      <c r="H890" s="242" t="s">
        <v>197</v>
      </c>
      <c r="I890" s="150" t="s">
        <v>383</v>
      </c>
      <c r="J890" s="169" t="s">
        <v>250</v>
      </c>
      <c r="K890" s="179"/>
      <c r="L890" s="203" t="s">
        <v>383</v>
      </c>
      <c r="M890" s="169" t="s">
        <v>267</v>
      </c>
      <c r="N890" s="207"/>
      <c r="O890" s="162"/>
      <c r="P890" s="162"/>
      <c r="Q890" s="162"/>
      <c r="R890" s="162"/>
      <c r="S890" s="162"/>
      <c r="T890" s="162"/>
      <c r="U890" s="162"/>
      <c r="V890" s="162"/>
      <c r="W890" s="162"/>
      <c r="X890" s="163"/>
      <c r="Y890" s="154"/>
      <c r="Z890" s="147"/>
      <c r="AA890" s="147"/>
      <c r="AB890" s="148"/>
      <c r="AC890" s="678"/>
      <c r="AD890" s="679"/>
      <c r="AE890" s="679"/>
      <c r="AF890" s="680"/>
      <c r="AI890" s="109" t="str">
        <f>"55:field212:" &amp; IF(I890="■",1,IF(L890="■",2,0))</f>
        <v>55:field212:0</v>
      </c>
    </row>
    <row r="891" spans="1:35" s="109" customFormat="1" ht="18.75" customHeight="1" x14ac:dyDescent="0.2">
      <c r="A891" s="139"/>
      <c r="B891" s="123"/>
      <c r="C891" s="248"/>
      <c r="D891" s="249"/>
      <c r="E891" s="128"/>
      <c r="F891" s="142"/>
      <c r="G891" s="128"/>
      <c r="H891" s="242" t="s">
        <v>206</v>
      </c>
      <c r="I891" s="150" t="s">
        <v>383</v>
      </c>
      <c r="J891" s="169" t="s">
        <v>250</v>
      </c>
      <c r="K891" s="179"/>
      <c r="L891" s="203" t="s">
        <v>383</v>
      </c>
      <c r="M891" s="169" t="s">
        <v>267</v>
      </c>
      <c r="N891" s="207"/>
      <c r="O891" s="162"/>
      <c r="P891" s="162"/>
      <c r="Q891" s="162"/>
      <c r="R891" s="162"/>
      <c r="S891" s="162"/>
      <c r="T891" s="162"/>
      <c r="U891" s="162"/>
      <c r="V891" s="162"/>
      <c r="W891" s="162"/>
      <c r="X891" s="163"/>
      <c r="Y891" s="154"/>
      <c r="Z891" s="147"/>
      <c r="AA891" s="147"/>
      <c r="AB891" s="148"/>
      <c r="AC891" s="678"/>
      <c r="AD891" s="679"/>
      <c r="AE891" s="679"/>
      <c r="AF891" s="680"/>
      <c r="AI891" s="109" t="str">
        <f>"55:field209:" &amp; IF(I891="■",1,IF(L891="■",2,0))</f>
        <v>55:field209:0</v>
      </c>
    </row>
    <row r="892" spans="1:35" s="109" customFormat="1" ht="18.75" customHeight="1" x14ac:dyDescent="0.2">
      <c r="A892" s="139"/>
      <c r="B892" s="123"/>
      <c r="C892" s="248"/>
      <c r="D892" s="249"/>
      <c r="E892" s="128"/>
      <c r="F892" s="142"/>
      <c r="G892" s="128"/>
      <c r="H892" s="242" t="s">
        <v>461</v>
      </c>
      <c r="I892" s="156" t="s">
        <v>383</v>
      </c>
      <c r="J892" s="157" t="s">
        <v>250</v>
      </c>
      <c r="K892" s="157"/>
      <c r="L892" s="160" t="s">
        <v>383</v>
      </c>
      <c r="M892" s="169" t="s">
        <v>267</v>
      </c>
      <c r="N892" s="157"/>
      <c r="O892" s="157"/>
      <c r="P892" s="157"/>
      <c r="Q892" s="158"/>
      <c r="R892" s="158"/>
      <c r="S892" s="158"/>
      <c r="T892" s="158"/>
      <c r="U892" s="158"/>
      <c r="V892" s="158"/>
      <c r="W892" s="158"/>
      <c r="X892" s="166"/>
      <c r="Y892" s="154"/>
      <c r="Z892" s="147"/>
      <c r="AA892" s="147"/>
      <c r="AB892" s="148"/>
      <c r="AC892" s="678"/>
      <c r="AD892" s="679"/>
      <c r="AE892" s="679"/>
      <c r="AF892" s="680"/>
      <c r="AI892" s="109" t="str">
        <f>"55:field226:" &amp; IF(I892="■",1,IF(L892="■",2,0))</f>
        <v>55:field226:0</v>
      </c>
    </row>
    <row r="893" spans="1:35" s="109" customFormat="1" ht="18.75" customHeight="1" x14ac:dyDescent="0.2">
      <c r="A893" s="139"/>
      <c r="B893" s="123"/>
      <c r="C893" s="248"/>
      <c r="D893" s="249"/>
      <c r="E893" s="128"/>
      <c r="F893" s="142"/>
      <c r="G893" s="128"/>
      <c r="H893" s="242" t="s">
        <v>462</v>
      </c>
      <c r="I893" s="156" t="s">
        <v>383</v>
      </c>
      <c r="J893" s="157" t="s">
        <v>250</v>
      </c>
      <c r="K893" s="157"/>
      <c r="L893" s="160" t="s">
        <v>383</v>
      </c>
      <c r="M893" s="169" t="s">
        <v>267</v>
      </c>
      <c r="N893" s="157"/>
      <c r="O893" s="157"/>
      <c r="P893" s="157"/>
      <c r="Q893" s="158"/>
      <c r="R893" s="158"/>
      <c r="S893" s="158"/>
      <c r="T893" s="158"/>
      <c r="U893" s="158"/>
      <c r="V893" s="158"/>
      <c r="W893" s="158"/>
      <c r="X893" s="166"/>
      <c r="Y893" s="154"/>
      <c r="Z893" s="147"/>
      <c r="AA893" s="147"/>
      <c r="AB893" s="148"/>
      <c r="AC893" s="678"/>
      <c r="AD893" s="679"/>
      <c r="AE893" s="679"/>
      <c r="AF893" s="680"/>
      <c r="AI893" s="109" t="str">
        <f>"55:field227:" &amp; IF(I893="■",1,IF(L893="■",2,0))</f>
        <v>55:field227:0</v>
      </c>
    </row>
    <row r="894" spans="1:35" s="109" customFormat="1" ht="18.75" customHeight="1" x14ac:dyDescent="0.2">
      <c r="A894" s="139"/>
      <c r="B894" s="123"/>
      <c r="C894" s="248"/>
      <c r="D894" s="249"/>
      <c r="E894" s="128"/>
      <c r="F894" s="142"/>
      <c r="G894" s="128"/>
      <c r="H894" s="250" t="s">
        <v>442</v>
      </c>
      <c r="I894" s="156" t="s">
        <v>383</v>
      </c>
      <c r="J894" s="157" t="s">
        <v>250</v>
      </c>
      <c r="K894" s="157"/>
      <c r="L894" s="160" t="s">
        <v>383</v>
      </c>
      <c r="M894" s="157" t="s">
        <v>251</v>
      </c>
      <c r="N894" s="157"/>
      <c r="O894" s="160" t="s">
        <v>383</v>
      </c>
      <c r="P894" s="157" t="s">
        <v>252</v>
      </c>
      <c r="Q894" s="162"/>
      <c r="R894" s="162"/>
      <c r="S894" s="162"/>
      <c r="T894" s="162"/>
      <c r="U894" s="251"/>
      <c r="V894" s="251"/>
      <c r="W894" s="251"/>
      <c r="X894" s="252"/>
      <c r="Y894" s="154"/>
      <c r="Z894" s="147"/>
      <c r="AA894" s="147"/>
      <c r="AB894" s="148"/>
      <c r="AC894" s="678"/>
      <c r="AD894" s="679"/>
      <c r="AE894" s="679"/>
      <c r="AF894" s="680"/>
      <c r="AI894" s="109" t="str">
        <f>"55:field225:" &amp; IF(I894="■",1,IF(L894="■",2,IF(O894="■",3,0)))</f>
        <v>55:field225:0</v>
      </c>
    </row>
    <row r="895" spans="1:35" s="109" customFormat="1" ht="18.75" customHeight="1" x14ac:dyDescent="0.2">
      <c r="A895" s="139"/>
      <c r="B895" s="123"/>
      <c r="C895" s="248"/>
      <c r="D895" s="249"/>
      <c r="E895" s="128"/>
      <c r="F895" s="142"/>
      <c r="G895" s="128"/>
      <c r="H895" s="242" t="s">
        <v>118</v>
      </c>
      <c r="I895" s="156" t="s">
        <v>383</v>
      </c>
      <c r="J895" s="157" t="s">
        <v>250</v>
      </c>
      <c r="K895" s="157"/>
      <c r="L895" s="160" t="s">
        <v>383</v>
      </c>
      <c r="M895" s="157" t="s">
        <v>258</v>
      </c>
      <c r="N895" s="157"/>
      <c r="O895" s="160" t="s">
        <v>383</v>
      </c>
      <c r="P895" s="157" t="s">
        <v>259</v>
      </c>
      <c r="Q895" s="207"/>
      <c r="R895" s="160" t="s">
        <v>383</v>
      </c>
      <c r="S895" s="157" t="s">
        <v>283</v>
      </c>
      <c r="T895" s="157"/>
      <c r="U895" s="207"/>
      <c r="V895" s="207"/>
      <c r="W895" s="207"/>
      <c r="X895" s="208"/>
      <c r="Y895" s="154"/>
      <c r="Z895" s="147"/>
      <c r="AA895" s="147"/>
      <c r="AB895" s="148"/>
      <c r="AC895" s="678"/>
      <c r="AD895" s="679"/>
      <c r="AE895" s="679"/>
      <c r="AF895" s="680"/>
      <c r="AI895" s="109" t="str">
        <f>"55:serteikyo_kyoka_code:" &amp; IF(I895="■",1,IF(L895="■",6,IF(O895="■",5,IF(R895="■",7,0))))</f>
        <v>55:serteikyo_kyoka_code:0</v>
      </c>
    </row>
    <row r="896" spans="1:35" s="621" customFormat="1" ht="18.75" customHeight="1" x14ac:dyDescent="0.2">
      <c r="A896" s="139"/>
      <c r="B896" s="670"/>
      <c r="C896" s="248"/>
      <c r="D896" s="249"/>
      <c r="E896" s="128"/>
      <c r="F896" s="142"/>
      <c r="G896" s="143"/>
      <c r="H896" s="713" t="s">
        <v>790</v>
      </c>
      <c r="I896" s="642" t="s">
        <v>383</v>
      </c>
      <c r="J896" s="616" t="s">
        <v>627</v>
      </c>
      <c r="K896" s="616"/>
      <c r="L896" s="615"/>
      <c r="M896" s="644" t="s">
        <v>383</v>
      </c>
      <c r="N896" s="616" t="s">
        <v>791</v>
      </c>
      <c r="O896" s="617"/>
      <c r="P896" s="615"/>
      <c r="Q896" s="644" t="s">
        <v>383</v>
      </c>
      <c r="R896" s="618" t="s">
        <v>802</v>
      </c>
      <c r="S896" s="615"/>
      <c r="T896" s="615"/>
      <c r="U896" s="615"/>
      <c r="V896" s="618"/>
      <c r="W896" s="619"/>
      <c r="X896" s="620"/>
      <c r="Y896" s="154"/>
      <c r="Z896" s="147"/>
      <c r="AA896" s="147"/>
      <c r="AB896" s="148"/>
      <c r="AC896" s="678"/>
      <c r="AD896" s="679"/>
      <c r="AE896" s="679"/>
      <c r="AF896" s="680"/>
    </row>
    <row r="897" spans="1:36" s="621" customFormat="1" ht="18.75" customHeight="1" x14ac:dyDescent="0.2">
      <c r="A897" s="139"/>
      <c r="B897" s="670"/>
      <c r="C897" s="248"/>
      <c r="D897" s="249"/>
      <c r="E897" s="128"/>
      <c r="F897" s="142"/>
      <c r="G897" s="143"/>
      <c r="H897" s="714"/>
      <c r="I897" s="643" t="s">
        <v>383</v>
      </c>
      <c r="J897" s="623" t="s">
        <v>803</v>
      </c>
      <c r="K897" s="623"/>
      <c r="L897" s="622"/>
      <c r="M897" s="211" t="s">
        <v>383</v>
      </c>
      <c r="N897" s="623" t="s">
        <v>804</v>
      </c>
      <c r="O897" s="624"/>
      <c r="P897" s="622"/>
      <c r="Q897" s="211" t="s">
        <v>383</v>
      </c>
      <c r="R897" s="623" t="s">
        <v>795</v>
      </c>
      <c r="S897" s="622"/>
      <c r="T897" s="623"/>
      <c r="U897" s="211" t="s">
        <v>383</v>
      </c>
      <c r="V897" s="623" t="s">
        <v>796</v>
      </c>
      <c r="W897" s="625"/>
      <c r="X897" s="626"/>
      <c r="Y897" s="154"/>
      <c r="Z897" s="147"/>
      <c r="AA897" s="147"/>
      <c r="AB897" s="148"/>
      <c r="AC897" s="678"/>
      <c r="AD897" s="679"/>
      <c r="AE897" s="679"/>
      <c r="AF897" s="680"/>
    </row>
    <row r="898" spans="1:36" s="109" customFormat="1" ht="18.75" customHeight="1" x14ac:dyDescent="0.2">
      <c r="A898" s="129"/>
      <c r="B898" s="116"/>
      <c r="C898" s="272"/>
      <c r="D898" s="273"/>
      <c r="E898" s="121"/>
      <c r="F898" s="132"/>
      <c r="G898" s="121"/>
      <c r="H898" s="705" t="s">
        <v>97</v>
      </c>
      <c r="I898" s="138" t="s">
        <v>383</v>
      </c>
      <c r="J898" s="119" t="s">
        <v>300</v>
      </c>
      <c r="K898" s="135"/>
      <c r="L898" s="244"/>
      <c r="M898" s="134" t="s">
        <v>383</v>
      </c>
      <c r="N898" s="119" t="s">
        <v>328</v>
      </c>
      <c r="O898" s="244"/>
      <c r="P898" s="244"/>
      <c r="Q898" s="134" t="s">
        <v>383</v>
      </c>
      <c r="R898" s="119" t="s">
        <v>329</v>
      </c>
      <c r="S898" s="244"/>
      <c r="T898" s="244"/>
      <c r="U898" s="134" t="s">
        <v>383</v>
      </c>
      <c r="V898" s="119" t="s">
        <v>330</v>
      </c>
      <c r="W898" s="244"/>
      <c r="X898" s="225"/>
      <c r="Y898" s="138" t="s">
        <v>383</v>
      </c>
      <c r="Z898" s="119" t="s">
        <v>249</v>
      </c>
      <c r="AA898" s="119"/>
      <c r="AB898" s="137"/>
      <c r="AC898" s="675"/>
      <c r="AD898" s="676"/>
      <c r="AE898" s="676"/>
      <c r="AF898" s="677"/>
      <c r="AG898" s="109" t="str">
        <f>"ser_code = '" &amp; IF(A915="■",55,"") &amp; "'"</f>
        <v>ser_code = ''</v>
      </c>
      <c r="AH898" s="109" t="str">
        <f>"55:jininkbn_code:" &amp; IF(F914="■",1,IF(F915="■",2,IF(F916="■",3,0)))</f>
        <v>55:jininkbn_code:0</v>
      </c>
      <c r="AI898" s="109" t="str">
        <f>"55:yakan_kinmu_code:" &amp; IF(I898="■",1,IF(M898="■",2,IF(Q898="■",3,IF(U898="■",7,IF(I899="■",5,IF(M899="■",6,0))))))</f>
        <v>55:yakan_kinmu_code:0</v>
      </c>
      <c r="AJ898" s="109" t="str">
        <f>"55:field203:" &amp; IF(Y898="■",1,IF(Y899="■",2,0))</f>
        <v>55:field203:0</v>
      </c>
    </row>
    <row r="899" spans="1:36" s="109" customFormat="1" ht="18.75" customHeight="1" x14ac:dyDescent="0.2">
      <c r="A899" s="139"/>
      <c r="B899" s="123"/>
      <c r="C899" s="248"/>
      <c r="D899" s="249"/>
      <c r="E899" s="128"/>
      <c r="F899" s="142"/>
      <c r="G899" s="128"/>
      <c r="H899" s="742"/>
      <c r="I899" s="150" t="s">
        <v>383</v>
      </c>
      <c r="J899" s="169" t="s">
        <v>331</v>
      </c>
      <c r="K899" s="179"/>
      <c r="L899" s="151"/>
      <c r="M899" s="203" t="s">
        <v>383</v>
      </c>
      <c r="N899" s="169" t="s">
        <v>301</v>
      </c>
      <c r="O899" s="151"/>
      <c r="P899" s="151"/>
      <c r="Q899" s="151"/>
      <c r="R899" s="151"/>
      <c r="S899" s="151"/>
      <c r="T899" s="151"/>
      <c r="U899" s="151"/>
      <c r="V899" s="151"/>
      <c r="W899" s="151"/>
      <c r="X899" s="238"/>
      <c r="Y899" s="125" t="s">
        <v>383</v>
      </c>
      <c r="Z899" s="126" t="s">
        <v>255</v>
      </c>
      <c r="AA899" s="147"/>
      <c r="AB899" s="148"/>
      <c r="AC899" s="678"/>
      <c r="AD899" s="679"/>
      <c r="AE899" s="679"/>
      <c r="AF899" s="680"/>
      <c r="AG899" s="109" t="str">
        <f>"55:sisetukbn_code:" &amp; IF(D915="■",2,0)</f>
        <v>55:sisetukbn_code:0</v>
      </c>
    </row>
    <row r="900" spans="1:36" s="109" customFormat="1" ht="18.75" customHeight="1" x14ac:dyDescent="0.2">
      <c r="A900" s="139"/>
      <c r="B900" s="123"/>
      <c r="C900" s="248"/>
      <c r="D900" s="249"/>
      <c r="E900" s="128"/>
      <c r="F900" s="142"/>
      <c r="G900" s="128"/>
      <c r="H900" s="741" t="s">
        <v>93</v>
      </c>
      <c r="I900" s="175" t="s">
        <v>383</v>
      </c>
      <c r="J900" s="168" t="s">
        <v>250</v>
      </c>
      <c r="K900" s="168"/>
      <c r="L900" s="172"/>
      <c r="M900" s="206" t="s">
        <v>383</v>
      </c>
      <c r="N900" s="168" t="s">
        <v>289</v>
      </c>
      <c r="O900" s="168"/>
      <c r="P900" s="172"/>
      <c r="Q900" s="206" t="s">
        <v>383</v>
      </c>
      <c r="R900" s="172" t="s">
        <v>372</v>
      </c>
      <c r="S900" s="172"/>
      <c r="T900" s="172"/>
      <c r="U900" s="206" t="s">
        <v>383</v>
      </c>
      <c r="V900" s="172" t="s">
        <v>373</v>
      </c>
      <c r="W900" s="251"/>
      <c r="X900" s="252"/>
      <c r="Y900" s="154"/>
      <c r="Z900" s="147"/>
      <c r="AA900" s="147"/>
      <c r="AB900" s="148"/>
      <c r="AC900" s="678"/>
      <c r="AD900" s="679"/>
      <c r="AE900" s="679"/>
      <c r="AF900" s="680"/>
      <c r="AI900" s="109" t="str">
        <f>"55:"&amp;IF(AND(I900="□",M900="□",Q900="□",U900="□",I901="□",M901="□"),"ketu_doctor_code:0",IF(I900="■","ketu_doctor_code:1:field197:1:ketu_kangos_code:1:ketu_kshoku_code:1:ketu_ksiensou_code:1",IF(M900="■","ketu_doctor_code:2","ketu_doctor_code:1")
&amp;IF(Q900="■",":field197:2",":field197:1")
&amp;IF(U900="■",":ketu_kangos_code:2",":ketu_kangos_code:1")
&amp;IF(I901="■",":ketu_kshoku_code:2",":ketu_kshoku_code:1")
&amp;IF(M901="■",":ketu_ksiensou_code:2",":ketu_ksiensou_code:1")))</f>
        <v>55:ketu_doctor_code:0</v>
      </c>
    </row>
    <row r="901" spans="1:36" s="109" customFormat="1" ht="18.75" customHeight="1" x14ac:dyDescent="0.2">
      <c r="A901" s="139"/>
      <c r="B901" s="123"/>
      <c r="C901" s="248"/>
      <c r="D901" s="249"/>
      <c r="E901" s="128"/>
      <c r="F901" s="142"/>
      <c r="G901" s="128"/>
      <c r="H901" s="742"/>
      <c r="I901" s="150" t="s">
        <v>383</v>
      </c>
      <c r="J901" s="151" t="s">
        <v>374</v>
      </c>
      <c r="K901" s="169"/>
      <c r="L901" s="151"/>
      <c r="M901" s="203" t="s">
        <v>383</v>
      </c>
      <c r="N901" s="169" t="s">
        <v>422</v>
      </c>
      <c r="O901" s="169"/>
      <c r="P901" s="151"/>
      <c r="Q901" s="151"/>
      <c r="R901" s="151"/>
      <c r="S901" s="151"/>
      <c r="T901" s="151"/>
      <c r="U901" s="151"/>
      <c r="V901" s="151"/>
      <c r="W901" s="152"/>
      <c r="X901" s="153"/>
      <c r="Y901" s="154"/>
      <c r="Z901" s="147"/>
      <c r="AA901" s="147"/>
      <c r="AB901" s="148"/>
      <c r="AC901" s="678"/>
      <c r="AD901" s="679"/>
      <c r="AE901" s="679"/>
      <c r="AF901" s="680"/>
    </row>
    <row r="902" spans="1:36" s="109" customFormat="1" ht="18.75" customHeight="1" x14ac:dyDescent="0.2">
      <c r="A902" s="139"/>
      <c r="B902" s="123"/>
      <c r="C902" s="248"/>
      <c r="D902" s="249"/>
      <c r="E902" s="128"/>
      <c r="F902" s="142"/>
      <c r="G902" s="128"/>
      <c r="H902" s="242" t="s">
        <v>107</v>
      </c>
      <c r="I902" s="156" t="s">
        <v>383</v>
      </c>
      <c r="J902" s="157" t="s">
        <v>395</v>
      </c>
      <c r="K902" s="158"/>
      <c r="L902" s="159"/>
      <c r="M902" s="160" t="s">
        <v>383</v>
      </c>
      <c r="N902" s="157" t="s">
        <v>396</v>
      </c>
      <c r="O902" s="162"/>
      <c r="P902" s="162"/>
      <c r="Q902" s="158"/>
      <c r="R902" s="158"/>
      <c r="S902" s="158"/>
      <c r="T902" s="158"/>
      <c r="U902" s="158"/>
      <c r="V902" s="158"/>
      <c r="W902" s="158"/>
      <c r="X902" s="166"/>
      <c r="Y902" s="154"/>
      <c r="Z902" s="147"/>
      <c r="AA902" s="147"/>
      <c r="AB902" s="148"/>
      <c r="AC902" s="678"/>
      <c r="AD902" s="679"/>
      <c r="AE902" s="679"/>
      <c r="AF902" s="680"/>
      <c r="AI902" s="109" t="str">
        <f>"55:sintaikousoku_code:" &amp; IF(I902="■",1,IF(M902="■",2,0))</f>
        <v>55:sintaikousoku_code:0</v>
      </c>
    </row>
    <row r="903" spans="1:36" s="109" customFormat="1" ht="18.75" customHeight="1" x14ac:dyDescent="0.2">
      <c r="A903" s="139"/>
      <c r="B903" s="123"/>
      <c r="C903" s="248"/>
      <c r="D903" s="249"/>
      <c r="E903" s="128"/>
      <c r="F903" s="142"/>
      <c r="G903" s="128"/>
      <c r="H903" s="242" t="s">
        <v>200</v>
      </c>
      <c r="I903" s="156" t="s">
        <v>383</v>
      </c>
      <c r="J903" s="157" t="s">
        <v>395</v>
      </c>
      <c r="K903" s="158"/>
      <c r="L903" s="159"/>
      <c r="M903" s="160" t="s">
        <v>383</v>
      </c>
      <c r="N903" s="157" t="s">
        <v>396</v>
      </c>
      <c r="O903" s="162"/>
      <c r="P903" s="162"/>
      <c r="Q903" s="158"/>
      <c r="R903" s="158"/>
      <c r="S903" s="158"/>
      <c r="T903" s="158"/>
      <c r="U903" s="158"/>
      <c r="V903" s="158"/>
      <c r="W903" s="158"/>
      <c r="X903" s="166"/>
      <c r="Y903" s="154"/>
      <c r="Z903" s="147"/>
      <c r="AA903" s="147"/>
      <c r="AB903" s="148"/>
      <c r="AC903" s="678"/>
      <c r="AD903" s="679"/>
      <c r="AE903" s="679"/>
      <c r="AF903" s="680"/>
      <c r="AI903" s="109" t="str">
        <f>"55:field208:" &amp; IF(I903="■",1,IF(M903="■",2,0))</f>
        <v>55:field208:0</v>
      </c>
    </row>
    <row r="904" spans="1:36" s="109" customFormat="1" ht="19.5" customHeight="1" x14ac:dyDescent="0.2">
      <c r="A904" s="139"/>
      <c r="B904" s="123"/>
      <c r="C904" s="140"/>
      <c r="D904" s="141"/>
      <c r="E904" s="128"/>
      <c r="F904" s="142"/>
      <c r="G904" s="143"/>
      <c r="H904" s="155" t="s">
        <v>430</v>
      </c>
      <c r="I904" s="156" t="s">
        <v>383</v>
      </c>
      <c r="J904" s="157" t="s">
        <v>395</v>
      </c>
      <c r="K904" s="158"/>
      <c r="L904" s="159"/>
      <c r="M904" s="160" t="s">
        <v>383</v>
      </c>
      <c r="N904" s="157" t="s">
        <v>431</v>
      </c>
      <c r="O904" s="161"/>
      <c r="P904" s="157"/>
      <c r="Q904" s="162"/>
      <c r="R904" s="162"/>
      <c r="S904" s="162"/>
      <c r="T904" s="162"/>
      <c r="U904" s="162"/>
      <c r="V904" s="162"/>
      <c r="W904" s="162"/>
      <c r="X904" s="163"/>
      <c r="Y904" s="147"/>
      <c r="Z904" s="147"/>
      <c r="AA904" s="147"/>
      <c r="AB904" s="148"/>
      <c r="AC904" s="678"/>
      <c r="AD904" s="679"/>
      <c r="AE904" s="679"/>
      <c r="AF904" s="680"/>
      <c r="AI904" s="109" t="str">
        <f>"55:field223:" &amp; IF(I904="■",1,IF(M904="■",2,0))</f>
        <v>55:field223:0</v>
      </c>
    </row>
    <row r="905" spans="1:36" s="109" customFormat="1" ht="19.5" customHeight="1" x14ac:dyDescent="0.2">
      <c r="A905" s="139"/>
      <c r="B905" s="123"/>
      <c r="C905" s="140"/>
      <c r="D905" s="141"/>
      <c r="E905" s="128"/>
      <c r="F905" s="142"/>
      <c r="G905" s="143"/>
      <c r="H905" s="155" t="s">
        <v>448</v>
      </c>
      <c r="I905" s="156" t="s">
        <v>383</v>
      </c>
      <c r="J905" s="157" t="s">
        <v>395</v>
      </c>
      <c r="K905" s="158"/>
      <c r="L905" s="159"/>
      <c r="M905" s="160" t="s">
        <v>383</v>
      </c>
      <c r="N905" s="157" t="s">
        <v>431</v>
      </c>
      <c r="O905" s="161"/>
      <c r="P905" s="157"/>
      <c r="Q905" s="162"/>
      <c r="R905" s="162"/>
      <c r="S905" s="162"/>
      <c r="T905" s="162"/>
      <c r="U905" s="162"/>
      <c r="V905" s="162"/>
      <c r="W905" s="162"/>
      <c r="X905" s="163"/>
      <c r="Y905" s="147"/>
      <c r="Z905" s="147"/>
      <c r="AA905" s="147"/>
      <c r="AB905" s="148"/>
      <c r="AC905" s="678"/>
      <c r="AD905" s="679"/>
      <c r="AE905" s="679"/>
      <c r="AF905" s="680"/>
      <c r="AI905" s="109" t="str">
        <f>"55:field232:" &amp; IF(I905="■",1,IF(M905="■",2,0))</f>
        <v>55:field232:0</v>
      </c>
    </row>
    <row r="906" spans="1:36" s="109" customFormat="1" ht="18.75" customHeight="1" x14ac:dyDescent="0.2">
      <c r="A906" s="139"/>
      <c r="B906" s="123"/>
      <c r="C906" s="248"/>
      <c r="D906" s="249"/>
      <c r="E906" s="128"/>
      <c r="F906" s="142"/>
      <c r="G906" s="128"/>
      <c r="H906" s="694" t="s">
        <v>202</v>
      </c>
      <c r="I906" s="709" t="s">
        <v>383</v>
      </c>
      <c r="J906" s="708" t="s">
        <v>250</v>
      </c>
      <c r="K906" s="708"/>
      <c r="L906" s="717" t="s">
        <v>383</v>
      </c>
      <c r="M906" s="708" t="s">
        <v>267</v>
      </c>
      <c r="N906" s="708"/>
      <c r="O906" s="172"/>
      <c r="P906" s="172"/>
      <c r="Q906" s="172"/>
      <c r="R906" s="172"/>
      <c r="S906" s="172"/>
      <c r="T906" s="172"/>
      <c r="U906" s="172"/>
      <c r="V906" s="172"/>
      <c r="W906" s="172"/>
      <c r="X906" s="209"/>
      <c r="Y906" s="154"/>
      <c r="Z906" s="147"/>
      <c r="AA906" s="147"/>
      <c r="AB906" s="148"/>
      <c r="AC906" s="678"/>
      <c r="AD906" s="679"/>
      <c r="AE906" s="679"/>
      <c r="AF906" s="680"/>
      <c r="AI906" s="109" t="str">
        <f>"55:field206:" &amp; IF(I906="■",1,IF(L906="■",2,0))</f>
        <v>55:field206:0</v>
      </c>
    </row>
    <row r="907" spans="1:36" s="109" customFormat="1" ht="18.75" customHeight="1" x14ac:dyDescent="0.2">
      <c r="A907" s="139"/>
      <c r="B907" s="123"/>
      <c r="C907" s="248"/>
      <c r="D907" s="249"/>
      <c r="E907" s="128"/>
      <c r="F907" s="142"/>
      <c r="G907" s="128"/>
      <c r="H907" s="693"/>
      <c r="I907" s="710"/>
      <c r="J907" s="698"/>
      <c r="K907" s="698"/>
      <c r="L907" s="718"/>
      <c r="M907" s="698"/>
      <c r="N907" s="698"/>
      <c r="O907" s="151"/>
      <c r="P907" s="151"/>
      <c r="Q907" s="151"/>
      <c r="R907" s="151"/>
      <c r="S907" s="151"/>
      <c r="T907" s="151"/>
      <c r="U907" s="151"/>
      <c r="V907" s="151"/>
      <c r="W907" s="151"/>
      <c r="X907" s="238"/>
      <c r="Y907" s="154"/>
      <c r="Z907" s="147"/>
      <c r="AA907" s="147"/>
      <c r="AB907" s="148"/>
      <c r="AC907" s="678"/>
      <c r="AD907" s="679"/>
      <c r="AE907" s="679"/>
      <c r="AF907" s="680"/>
    </row>
    <row r="908" spans="1:36" s="109" customFormat="1" ht="18.75" customHeight="1" x14ac:dyDescent="0.2">
      <c r="A908" s="139"/>
      <c r="B908" s="123"/>
      <c r="C908" s="248"/>
      <c r="D908" s="249"/>
      <c r="E908" s="128"/>
      <c r="F908" s="142"/>
      <c r="G908" s="128"/>
      <c r="H908" s="242" t="s">
        <v>164</v>
      </c>
      <c r="I908" s="156" t="s">
        <v>383</v>
      </c>
      <c r="J908" s="157" t="s">
        <v>420</v>
      </c>
      <c r="K908" s="158"/>
      <c r="L908" s="159"/>
      <c r="M908" s="160" t="s">
        <v>383</v>
      </c>
      <c r="N908" s="157" t="s">
        <v>332</v>
      </c>
      <c r="O908" s="162"/>
      <c r="P908" s="162"/>
      <c r="Q908" s="158"/>
      <c r="R908" s="158"/>
      <c r="S908" s="158"/>
      <c r="T908" s="158"/>
      <c r="U908" s="158"/>
      <c r="V908" s="158"/>
      <c r="W908" s="158"/>
      <c r="X908" s="166"/>
      <c r="Y908" s="154"/>
      <c r="Z908" s="147"/>
      <c r="AA908" s="147"/>
      <c r="AB908" s="148"/>
      <c r="AC908" s="678"/>
      <c r="AD908" s="679"/>
      <c r="AE908" s="679"/>
      <c r="AF908" s="680"/>
      <c r="AI908" s="109" t="str">
        <f>"55:field190:" &amp; IF(I908="■",1,IF(M908="■",2,0))</f>
        <v>55:field190:0</v>
      </c>
    </row>
    <row r="909" spans="1:36" s="109" customFormat="1" ht="18.75" customHeight="1" x14ac:dyDescent="0.2">
      <c r="A909" s="139"/>
      <c r="B909" s="123"/>
      <c r="C909" s="248"/>
      <c r="D909" s="249"/>
      <c r="E909" s="128"/>
      <c r="F909" s="142"/>
      <c r="G909" s="128"/>
      <c r="H909" s="405" t="s">
        <v>165</v>
      </c>
      <c r="I909" s="406" t="s">
        <v>383</v>
      </c>
      <c r="J909" s="345" t="s">
        <v>420</v>
      </c>
      <c r="K909" s="362"/>
      <c r="L909" s="407"/>
      <c r="M909" s="408" t="s">
        <v>383</v>
      </c>
      <c r="N909" s="345" t="s">
        <v>332</v>
      </c>
      <c r="O909" s="346"/>
      <c r="P909" s="346"/>
      <c r="Q909" s="362"/>
      <c r="R909" s="362"/>
      <c r="S909" s="362"/>
      <c r="T909" s="362"/>
      <c r="U909" s="362"/>
      <c r="V909" s="362"/>
      <c r="W909" s="362"/>
      <c r="X909" s="363"/>
      <c r="Y909" s="455"/>
      <c r="Z909" s="147"/>
      <c r="AA909" s="147"/>
      <c r="AB909" s="148"/>
      <c r="AC909" s="678"/>
      <c r="AD909" s="679"/>
      <c r="AE909" s="679"/>
      <c r="AF909" s="680"/>
      <c r="AI909" s="109" t="str">
        <f>"55:field191:" &amp; IF(I909="■",1,IF(M909="■",2,0))</f>
        <v>55:field191:0</v>
      </c>
    </row>
    <row r="910" spans="1:36" s="1" customFormat="1" ht="19.5" customHeight="1" x14ac:dyDescent="0.2">
      <c r="A910" s="88"/>
      <c r="B910" s="91"/>
      <c r="C910" s="87"/>
      <c r="D910" s="89"/>
      <c r="E910" s="90"/>
      <c r="F910" s="101"/>
      <c r="G910" s="100"/>
      <c r="H910" s="348" t="s">
        <v>638</v>
      </c>
      <c r="I910" s="406" t="s">
        <v>383</v>
      </c>
      <c r="J910" s="381" t="s">
        <v>624</v>
      </c>
      <c r="K910" s="472"/>
      <c r="L910" s="382"/>
      <c r="M910" s="408" t="s">
        <v>383</v>
      </c>
      <c r="N910" s="381" t="s">
        <v>625</v>
      </c>
      <c r="O910" s="473"/>
      <c r="P910" s="381"/>
      <c r="Q910" s="474"/>
      <c r="R910" s="474"/>
      <c r="S910" s="474"/>
      <c r="T910" s="474"/>
      <c r="U910" s="474"/>
      <c r="V910" s="474"/>
      <c r="W910" s="474"/>
      <c r="X910" s="475"/>
      <c r="Y910" s="476"/>
      <c r="Z910" s="2"/>
      <c r="AA910" s="92"/>
      <c r="AB910" s="102"/>
      <c r="AC910" s="678"/>
      <c r="AD910" s="679"/>
      <c r="AE910" s="679"/>
      <c r="AF910" s="680"/>
      <c r="AI910" s="109" t="str">
        <f>"55:field242:" &amp; IF(I910="■",1,IF(M910="■",2,0))</f>
        <v>55:field242:0</v>
      </c>
    </row>
    <row r="911" spans="1:36" s="109" customFormat="1" ht="18.75" customHeight="1" x14ac:dyDescent="0.2">
      <c r="A911" s="139"/>
      <c r="B911" s="123"/>
      <c r="C911" s="248"/>
      <c r="D911" s="249"/>
      <c r="E911" s="128"/>
      <c r="F911" s="142"/>
      <c r="G911" s="128"/>
      <c r="H911" s="242" t="s">
        <v>122</v>
      </c>
      <c r="I911" s="150" t="s">
        <v>383</v>
      </c>
      <c r="J911" s="169" t="s">
        <v>250</v>
      </c>
      <c r="K911" s="179"/>
      <c r="L911" s="203" t="s">
        <v>383</v>
      </c>
      <c r="M911" s="169" t="s">
        <v>267</v>
      </c>
      <c r="N911" s="207"/>
      <c r="O911" s="162"/>
      <c r="P911" s="158"/>
      <c r="Q911" s="158"/>
      <c r="R911" s="158"/>
      <c r="S911" s="158"/>
      <c r="T911" s="158"/>
      <c r="U911" s="158"/>
      <c r="V911" s="158"/>
      <c r="W911" s="158"/>
      <c r="X911" s="166"/>
      <c r="Y911" s="154"/>
      <c r="Z911" s="147"/>
      <c r="AA911" s="147"/>
      <c r="AB911" s="148"/>
      <c r="AC911" s="678"/>
      <c r="AD911" s="679"/>
      <c r="AE911" s="679"/>
      <c r="AF911" s="680"/>
      <c r="AI911" s="109" t="str">
        <f>"55:jyakuninti_uke_code:" &amp; IF(I911="■",1,IF(L911="■",2,0))</f>
        <v>55:jyakuninti_uke_code:0</v>
      </c>
    </row>
    <row r="912" spans="1:36" s="109" customFormat="1" ht="18.75" customHeight="1" x14ac:dyDescent="0.2">
      <c r="A912" s="139"/>
      <c r="B912" s="123"/>
      <c r="C912" s="248"/>
      <c r="D912" s="249"/>
      <c r="E912" s="128"/>
      <c r="F912" s="142"/>
      <c r="G912" s="128"/>
      <c r="H912" s="242" t="s">
        <v>199</v>
      </c>
      <c r="I912" s="150" t="s">
        <v>383</v>
      </c>
      <c r="J912" s="169" t="s">
        <v>250</v>
      </c>
      <c r="K912" s="179"/>
      <c r="L912" s="203" t="s">
        <v>383</v>
      </c>
      <c r="M912" s="169" t="s">
        <v>267</v>
      </c>
      <c r="N912" s="207"/>
      <c r="O912" s="162"/>
      <c r="P912" s="158"/>
      <c r="Q912" s="158"/>
      <c r="R912" s="158"/>
      <c r="S912" s="158"/>
      <c r="T912" s="158"/>
      <c r="U912" s="158"/>
      <c r="V912" s="158"/>
      <c r="W912" s="158"/>
      <c r="X912" s="166"/>
      <c r="Y912" s="154"/>
      <c r="Z912" s="147"/>
      <c r="AA912" s="147"/>
      <c r="AB912" s="148"/>
      <c r="AC912" s="678"/>
      <c r="AD912" s="679"/>
      <c r="AE912" s="679"/>
      <c r="AF912" s="680"/>
      <c r="AI912" s="109" t="str">
        <f>"55:field207:" &amp; IF(I912="■",1,IF(L912="■",2,0))</f>
        <v>55:field207:0</v>
      </c>
    </row>
    <row r="913" spans="1:35" s="109" customFormat="1" ht="18.75" customHeight="1" x14ac:dyDescent="0.2">
      <c r="A913" s="139"/>
      <c r="B913" s="123"/>
      <c r="C913" s="248"/>
      <c r="D913" s="249"/>
      <c r="E913" s="128"/>
      <c r="F913" s="142"/>
      <c r="G913" s="128"/>
      <c r="H913" s="242" t="s">
        <v>112</v>
      </c>
      <c r="I913" s="150" t="s">
        <v>383</v>
      </c>
      <c r="J913" s="169" t="s">
        <v>250</v>
      </c>
      <c r="K913" s="179"/>
      <c r="L913" s="203" t="s">
        <v>383</v>
      </c>
      <c r="M913" s="169" t="s">
        <v>267</v>
      </c>
      <c r="N913" s="207"/>
      <c r="O913" s="162"/>
      <c r="P913" s="158"/>
      <c r="Q913" s="158"/>
      <c r="R913" s="158"/>
      <c r="S913" s="158"/>
      <c r="T913" s="158"/>
      <c r="U913" s="158"/>
      <c r="V913" s="158"/>
      <c r="W913" s="158"/>
      <c r="X913" s="166"/>
      <c r="Y913" s="154"/>
      <c r="Z913" s="147"/>
      <c r="AA913" s="147"/>
      <c r="AB913" s="148"/>
      <c r="AC913" s="678"/>
      <c r="AD913" s="679"/>
      <c r="AE913" s="679"/>
      <c r="AF913" s="680"/>
      <c r="AI913" s="109" t="str">
        <f>"55:ryouyoushoku_code:" &amp; IF(I913="■",1,IF(L913="■",2,0))</f>
        <v>55:ryouyoushoku_code:0</v>
      </c>
    </row>
    <row r="914" spans="1:35" s="109" customFormat="1" ht="18.75" customHeight="1" x14ac:dyDescent="0.2">
      <c r="A914" s="139"/>
      <c r="B914" s="123"/>
      <c r="C914" s="248"/>
      <c r="D914" s="249"/>
      <c r="E914" s="128"/>
      <c r="F914" s="125" t="s">
        <v>383</v>
      </c>
      <c r="G914" s="128" t="s">
        <v>375</v>
      </c>
      <c r="H914" s="741" t="s">
        <v>152</v>
      </c>
      <c r="I914" s="175" t="s">
        <v>383</v>
      </c>
      <c r="J914" s="168" t="s">
        <v>320</v>
      </c>
      <c r="K914" s="168"/>
      <c r="L914" s="251"/>
      <c r="M914" s="251"/>
      <c r="N914" s="251"/>
      <c r="O914" s="251"/>
      <c r="P914" s="206" t="s">
        <v>383</v>
      </c>
      <c r="Q914" s="168" t="s">
        <v>321</v>
      </c>
      <c r="R914" s="251"/>
      <c r="S914" s="251"/>
      <c r="T914" s="251"/>
      <c r="U914" s="251"/>
      <c r="V914" s="251"/>
      <c r="W914" s="251"/>
      <c r="X914" s="252"/>
      <c r="Y914" s="154"/>
      <c r="Z914" s="147"/>
      <c r="AA914" s="147"/>
      <c r="AB914" s="148"/>
      <c r="AC914" s="678"/>
      <c r="AD914" s="679"/>
      <c r="AE914" s="679"/>
      <c r="AF914" s="680"/>
      <c r="AI914" s="109" t="str">
        <f>"55:" &amp; IF(AND(I914="□",P914="□",I915="□"),"tokusin_jyusho_code:0:tokusin_yakuzai_code:0:shuudan_comu_code:0",IF(I914="■","tokusin_jyusho_code:2","tokusin_jyusho_code:1")
&amp;IF(P914="■",":tokusin_yakuzai_code:2",":tokusin_yakuzai_code:1")
&amp;IF(I915="■",":shuudan_comu_code:2",":shuudan_comu_code:1"))</f>
        <v>55:tokusin_jyusho_code:0:tokusin_yakuzai_code:0:shuudan_comu_code:0</v>
      </c>
    </row>
    <row r="915" spans="1:35" s="109" customFormat="1" ht="18.75" customHeight="1" x14ac:dyDescent="0.2">
      <c r="A915" s="125" t="s">
        <v>383</v>
      </c>
      <c r="B915" s="123">
        <v>55</v>
      </c>
      <c r="C915" s="248" t="s">
        <v>141</v>
      </c>
      <c r="D915" s="125" t="s">
        <v>383</v>
      </c>
      <c r="E915" s="128" t="s">
        <v>171</v>
      </c>
      <c r="F915" s="125" t="s">
        <v>383</v>
      </c>
      <c r="G915" s="128" t="s">
        <v>376</v>
      </c>
      <c r="H915" s="742"/>
      <c r="I915" s="150" t="s">
        <v>383</v>
      </c>
      <c r="J915" s="169" t="s">
        <v>334</v>
      </c>
      <c r="K915" s="152"/>
      <c r="L915" s="152"/>
      <c r="M915" s="152"/>
      <c r="N915" s="152"/>
      <c r="O915" s="152"/>
      <c r="P915" s="152"/>
      <c r="Q915" s="108"/>
      <c r="R915" s="152"/>
      <c r="S915" s="152"/>
      <c r="T915" s="152"/>
      <c r="U915" s="152"/>
      <c r="V915" s="152"/>
      <c r="W915" s="152"/>
      <c r="X915" s="153"/>
      <c r="Y915" s="154"/>
      <c r="Z915" s="147"/>
      <c r="AA915" s="147"/>
      <c r="AB915" s="148"/>
      <c r="AC915" s="678"/>
      <c r="AD915" s="679"/>
      <c r="AE915" s="679"/>
      <c r="AF915" s="680"/>
    </row>
    <row r="916" spans="1:35" s="109" customFormat="1" ht="18.75" customHeight="1" x14ac:dyDescent="0.2">
      <c r="A916" s="139"/>
      <c r="B916" s="123"/>
      <c r="C916" s="248"/>
      <c r="D916" s="249"/>
      <c r="E916" s="128"/>
      <c r="F916" s="125" t="s">
        <v>383</v>
      </c>
      <c r="G916" s="128" t="s">
        <v>377</v>
      </c>
      <c r="H916" s="741" t="s">
        <v>103</v>
      </c>
      <c r="I916" s="175" t="s">
        <v>383</v>
      </c>
      <c r="J916" s="168" t="s">
        <v>335</v>
      </c>
      <c r="K916" s="181"/>
      <c r="L916" s="214"/>
      <c r="M916" s="206" t="s">
        <v>383</v>
      </c>
      <c r="N916" s="168" t="s">
        <v>336</v>
      </c>
      <c r="O916" s="251"/>
      <c r="P916" s="251"/>
      <c r="Q916" s="206" t="s">
        <v>383</v>
      </c>
      <c r="R916" s="168" t="s">
        <v>337</v>
      </c>
      <c r="S916" s="251"/>
      <c r="T916" s="251"/>
      <c r="U916" s="251"/>
      <c r="V916" s="251"/>
      <c r="W916" s="251"/>
      <c r="X916" s="252"/>
      <c r="Y916" s="154"/>
      <c r="Z916" s="147"/>
      <c r="AA916" s="147"/>
      <c r="AB916" s="148"/>
      <c r="AC916" s="678"/>
      <c r="AD916" s="679"/>
      <c r="AE916" s="679"/>
      <c r="AF916" s="680"/>
      <c r="AI916" s="109" t="str">
        <f>"55:"&amp;IF(AND(I916="□",M916="□",Q916="□",I917="□",Q917="□"),"koriha_rryoho1_code:0:koriha_sryoho_code:0:koriha_gengo_code:0:riha_seisin_code:0:koriha_other_code:0",IF(I916="■","koriha_rryoho1_code:2","koriha_rryoho1_code:1")
&amp;IF(M916="■",":koriha_sryoho_code:2",":koriha_sryoho_code:1")
&amp;IF(Q916="■",":koriha_gengo_code:2",":koriha_gengo_code:1")
&amp;IF(I917="■",":riha_seisin_code:2",":riha_seisin_code:1")
&amp;IF(Q917="■",":koriha_other_code:2",":koriha_other_code:1"))</f>
        <v>55:koriha_rryoho1_code:0:koriha_sryoho_code:0:koriha_gengo_code:0:riha_seisin_code:0:koriha_other_code:0</v>
      </c>
    </row>
    <row r="917" spans="1:35" s="109" customFormat="1" ht="18.75" customHeight="1" x14ac:dyDescent="0.2">
      <c r="A917" s="139"/>
      <c r="B917" s="123"/>
      <c r="C917" s="248"/>
      <c r="D917" s="249"/>
      <c r="E917" s="128"/>
      <c r="F917" s="249"/>
      <c r="G917" s="128"/>
      <c r="H917" s="742"/>
      <c r="I917" s="150" t="s">
        <v>383</v>
      </c>
      <c r="J917" s="169" t="s">
        <v>338</v>
      </c>
      <c r="K917" s="152"/>
      <c r="L917" s="152"/>
      <c r="M917" s="152"/>
      <c r="N917" s="152"/>
      <c r="O917" s="152"/>
      <c r="P917" s="152"/>
      <c r="Q917" s="118" t="s">
        <v>383</v>
      </c>
      <c r="R917" s="169" t="s">
        <v>339</v>
      </c>
      <c r="S917" s="151"/>
      <c r="T917" s="152"/>
      <c r="U917" s="152"/>
      <c r="V917" s="152"/>
      <c r="W917" s="152"/>
      <c r="X917" s="153"/>
      <c r="Y917" s="154"/>
      <c r="Z917" s="147"/>
      <c r="AA917" s="147"/>
      <c r="AB917" s="148"/>
      <c r="AC917" s="678"/>
      <c r="AD917" s="679"/>
      <c r="AE917" s="679"/>
      <c r="AF917" s="680"/>
    </row>
    <row r="918" spans="1:35" s="109" customFormat="1" ht="18.75" customHeight="1" x14ac:dyDescent="0.2">
      <c r="A918" s="139"/>
      <c r="B918" s="123"/>
      <c r="C918" s="248"/>
      <c r="D918" s="249"/>
      <c r="E918" s="128"/>
      <c r="F918" s="249"/>
      <c r="G918" s="128"/>
      <c r="H918" s="694" t="s">
        <v>452</v>
      </c>
      <c r="I918" s="709" t="s">
        <v>383</v>
      </c>
      <c r="J918" s="708" t="s">
        <v>250</v>
      </c>
      <c r="K918" s="708"/>
      <c r="L918" s="717" t="s">
        <v>383</v>
      </c>
      <c r="M918" s="708" t="s">
        <v>453</v>
      </c>
      <c r="N918" s="708"/>
      <c r="O918" s="708"/>
      <c r="P918" s="717" t="s">
        <v>383</v>
      </c>
      <c r="Q918" s="708" t="s">
        <v>454</v>
      </c>
      <c r="R918" s="708"/>
      <c r="S918" s="708"/>
      <c r="T918" s="717" t="s">
        <v>383</v>
      </c>
      <c r="U918" s="708" t="s">
        <v>455</v>
      </c>
      <c r="V918" s="708"/>
      <c r="W918" s="708"/>
      <c r="X918" s="779"/>
      <c r="Y918" s="154"/>
      <c r="Z918" s="147"/>
      <c r="AA918" s="147"/>
      <c r="AB918" s="148"/>
      <c r="AC918" s="678"/>
      <c r="AD918" s="679"/>
      <c r="AE918" s="679"/>
      <c r="AF918" s="680"/>
      <c r="AI918" s="109" t="str">
        <f>"55:"&amp;IF(AND(I918="□",L918="□",P918="□",T918="□"),"field236:0:field237:0:field238:0",IF(I918="■","field236:1:field237:1:field238:1",IF(L918="■","field236:2","field236:1")
&amp;IF(P918="■",":field237:2",":field237:1")
&amp;IF(T918="■",":field238:2",":field238:1")))</f>
        <v>55:field236:0:field237:0:field238:0</v>
      </c>
    </row>
    <row r="919" spans="1:35" s="109" customFormat="1" ht="18.75" customHeight="1" x14ac:dyDescent="0.2">
      <c r="A919" s="139"/>
      <c r="B919" s="123"/>
      <c r="C919" s="248"/>
      <c r="D919" s="249"/>
      <c r="E919" s="128"/>
      <c r="F919" s="142"/>
      <c r="G919" s="128"/>
      <c r="H919" s="693"/>
      <c r="I919" s="710"/>
      <c r="J919" s="698"/>
      <c r="K919" s="698"/>
      <c r="L919" s="718"/>
      <c r="M919" s="698"/>
      <c r="N919" s="698"/>
      <c r="O919" s="698"/>
      <c r="P919" s="718"/>
      <c r="Q919" s="698"/>
      <c r="R919" s="698"/>
      <c r="S919" s="698"/>
      <c r="T919" s="718"/>
      <c r="U919" s="698"/>
      <c r="V919" s="698"/>
      <c r="W919" s="698"/>
      <c r="X919" s="780"/>
      <c r="Y919" s="154"/>
      <c r="Z919" s="147"/>
      <c r="AA919" s="147"/>
      <c r="AB919" s="148"/>
      <c r="AC919" s="678"/>
      <c r="AD919" s="679"/>
      <c r="AE919" s="679"/>
      <c r="AF919" s="680"/>
    </row>
    <row r="920" spans="1:35" s="109" customFormat="1" ht="18.75" customHeight="1" x14ac:dyDescent="0.2">
      <c r="A920" s="139"/>
      <c r="B920" s="123"/>
      <c r="C920" s="248"/>
      <c r="D920" s="249"/>
      <c r="E920" s="128"/>
      <c r="F920" s="142"/>
      <c r="G920" s="128"/>
      <c r="H920" s="164" t="s">
        <v>120</v>
      </c>
      <c r="I920" s="150" t="s">
        <v>383</v>
      </c>
      <c r="J920" s="169" t="s">
        <v>250</v>
      </c>
      <c r="K920" s="179"/>
      <c r="L920" s="203" t="s">
        <v>383</v>
      </c>
      <c r="M920" s="169" t="s">
        <v>267</v>
      </c>
      <c r="N920" s="207"/>
      <c r="O920" s="162"/>
      <c r="P920" s="158"/>
      <c r="Q920" s="158"/>
      <c r="R920" s="158"/>
      <c r="S920" s="158"/>
      <c r="T920" s="158"/>
      <c r="U920" s="158"/>
      <c r="V920" s="158"/>
      <c r="W920" s="158"/>
      <c r="X920" s="166"/>
      <c r="Y920" s="154"/>
      <c r="Z920" s="147"/>
      <c r="AA920" s="147"/>
      <c r="AB920" s="148"/>
      <c r="AC920" s="678"/>
      <c r="AD920" s="679"/>
      <c r="AE920" s="679"/>
      <c r="AF920" s="680"/>
      <c r="AI920" s="109" t="str">
        <f>"55:ninti_riha_code:" &amp; IF(I920="■",1,IF(L920="■",2,0))</f>
        <v>55:ninti_riha_code:0</v>
      </c>
    </row>
    <row r="921" spans="1:35" s="109" customFormat="1" ht="18.75" customHeight="1" x14ac:dyDescent="0.2">
      <c r="A921" s="139"/>
      <c r="B921" s="123"/>
      <c r="C921" s="248"/>
      <c r="D921" s="249"/>
      <c r="E921" s="128"/>
      <c r="F921" s="142"/>
      <c r="G921" s="128"/>
      <c r="H921" s="242" t="s">
        <v>116</v>
      </c>
      <c r="I921" s="156" t="s">
        <v>383</v>
      </c>
      <c r="J921" s="157" t="s">
        <v>250</v>
      </c>
      <c r="K921" s="157"/>
      <c r="L921" s="160" t="s">
        <v>383</v>
      </c>
      <c r="M921" s="157" t="s">
        <v>251</v>
      </c>
      <c r="N921" s="157"/>
      <c r="O921" s="160" t="s">
        <v>383</v>
      </c>
      <c r="P921" s="157" t="s">
        <v>252</v>
      </c>
      <c r="Q921" s="162"/>
      <c r="R921" s="158"/>
      <c r="S921" s="158"/>
      <c r="T921" s="158"/>
      <c r="U921" s="158"/>
      <c r="V921" s="158"/>
      <c r="W921" s="158"/>
      <c r="X921" s="166"/>
      <c r="Y921" s="154"/>
      <c r="Z921" s="147"/>
      <c r="AA921" s="147"/>
      <c r="AB921" s="148"/>
      <c r="AC921" s="678"/>
      <c r="AD921" s="679"/>
      <c r="AE921" s="679"/>
      <c r="AF921" s="680"/>
      <c r="AI921" s="109" t="str">
        <f>"55:ninti_senmoncare_code:" &amp; IF(I921="■",1,IF(O921="■",3,IF(L921="■",2,0)))</f>
        <v>55:ninti_senmoncare_code:0</v>
      </c>
    </row>
    <row r="922" spans="1:35" s="109" customFormat="1" ht="18.75" customHeight="1" x14ac:dyDescent="0.2">
      <c r="A922" s="139"/>
      <c r="B922" s="123"/>
      <c r="C922" s="248"/>
      <c r="D922" s="249"/>
      <c r="E922" s="128"/>
      <c r="F922" s="142"/>
      <c r="G922" s="128"/>
      <c r="H922" s="242" t="s">
        <v>447</v>
      </c>
      <c r="I922" s="156" t="s">
        <v>383</v>
      </c>
      <c r="J922" s="157" t="s">
        <v>250</v>
      </c>
      <c r="K922" s="157"/>
      <c r="L922" s="160" t="s">
        <v>383</v>
      </c>
      <c r="M922" s="157" t="s">
        <v>251</v>
      </c>
      <c r="N922" s="157"/>
      <c r="O922" s="160" t="s">
        <v>383</v>
      </c>
      <c r="P922" s="157" t="s">
        <v>252</v>
      </c>
      <c r="Q922" s="158"/>
      <c r="R922" s="158"/>
      <c r="S922" s="158"/>
      <c r="T922" s="158"/>
      <c r="U922" s="158"/>
      <c r="V922" s="158"/>
      <c r="W922" s="158"/>
      <c r="X922" s="166"/>
      <c r="Y922" s="154"/>
      <c r="Z922" s="147"/>
      <c r="AA922" s="147"/>
      <c r="AB922" s="148"/>
      <c r="AC922" s="678"/>
      <c r="AD922" s="679"/>
      <c r="AE922" s="679"/>
      <c r="AF922" s="680"/>
      <c r="AI922" s="109" t="str">
        <f>"55:field228:" &amp; IF(I922="■",1,IF(L922="■",2,IF(O922="■",3,0)))</f>
        <v>55:field228:0</v>
      </c>
    </row>
    <row r="923" spans="1:35" s="109" customFormat="1" ht="18.75" customHeight="1" x14ac:dyDescent="0.2">
      <c r="A923" s="139"/>
      <c r="B923" s="123"/>
      <c r="C923" s="248"/>
      <c r="D923" s="249"/>
      <c r="E923" s="128"/>
      <c r="F923" s="142"/>
      <c r="G923" s="128"/>
      <c r="H923" s="242" t="s">
        <v>142</v>
      </c>
      <c r="I923" s="156" t="s">
        <v>383</v>
      </c>
      <c r="J923" s="157" t="s">
        <v>250</v>
      </c>
      <c r="K923" s="157"/>
      <c r="L923" s="160" t="s">
        <v>383</v>
      </c>
      <c r="M923" s="157" t="s">
        <v>251</v>
      </c>
      <c r="N923" s="157"/>
      <c r="O923" s="160" t="s">
        <v>383</v>
      </c>
      <c r="P923" s="157" t="s">
        <v>252</v>
      </c>
      <c r="Q923" s="162"/>
      <c r="R923" s="157"/>
      <c r="S923" s="157"/>
      <c r="T923" s="157"/>
      <c r="U923" s="157"/>
      <c r="V923" s="157"/>
      <c r="W923" s="157"/>
      <c r="X923" s="165"/>
      <c r="Y923" s="154"/>
      <c r="Z923" s="147"/>
      <c r="AA923" s="147"/>
      <c r="AB923" s="148"/>
      <c r="AC923" s="678"/>
      <c r="AD923" s="679"/>
      <c r="AE923" s="679"/>
      <c r="AF923" s="680"/>
      <c r="AI923" s="109" t="str">
        <f>"55:field164:" &amp; IF(I923="■",1,IF(L923="■",2,IF(O923="■",3,0)))</f>
        <v>55:field164:0</v>
      </c>
    </row>
    <row r="924" spans="1:35" s="109" customFormat="1" ht="18.75" customHeight="1" x14ac:dyDescent="0.2">
      <c r="A924" s="139"/>
      <c r="B924" s="123"/>
      <c r="C924" s="248"/>
      <c r="D924" s="249"/>
      <c r="E924" s="128"/>
      <c r="F924" s="142"/>
      <c r="G924" s="128"/>
      <c r="H924" s="239" t="s">
        <v>198</v>
      </c>
      <c r="I924" s="150" t="s">
        <v>383</v>
      </c>
      <c r="J924" s="169" t="s">
        <v>250</v>
      </c>
      <c r="K924" s="179"/>
      <c r="L924" s="203" t="s">
        <v>383</v>
      </c>
      <c r="M924" s="169" t="s">
        <v>267</v>
      </c>
      <c r="N924" s="207"/>
      <c r="O924" s="162"/>
      <c r="P924" s="158"/>
      <c r="Q924" s="158"/>
      <c r="R924" s="158"/>
      <c r="S924" s="158"/>
      <c r="T924" s="158"/>
      <c r="U924" s="158"/>
      <c r="V924" s="158"/>
      <c r="W924" s="158"/>
      <c r="X924" s="166"/>
      <c r="Y924" s="154"/>
      <c r="Z924" s="147"/>
      <c r="AA924" s="147"/>
      <c r="AB924" s="148"/>
      <c r="AC924" s="678"/>
      <c r="AD924" s="679"/>
      <c r="AE924" s="679"/>
      <c r="AF924" s="680"/>
      <c r="AI924" s="109" t="str">
        <f>"55:field210:" &amp; IF(I924="■",1,IF(L924="■",2,0))</f>
        <v>55:field210:0</v>
      </c>
    </row>
    <row r="925" spans="1:35" s="109" customFormat="1" ht="18.75" customHeight="1" x14ac:dyDescent="0.2">
      <c r="A925" s="139"/>
      <c r="B925" s="123"/>
      <c r="C925" s="248"/>
      <c r="D925" s="249"/>
      <c r="E925" s="128"/>
      <c r="F925" s="142"/>
      <c r="G925" s="128"/>
      <c r="H925" s="242" t="s">
        <v>225</v>
      </c>
      <c r="I925" s="150" t="s">
        <v>383</v>
      </c>
      <c r="J925" s="169" t="s">
        <v>250</v>
      </c>
      <c r="K925" s="179"/>
      <c r="L925" s="203" t="s">
        <v>383</v>
      </c>
      <c r="M925" s="169" t="s">
        <v>267</v>
      </c>
      <c r="N925" s="207"/>
      <c r="O925" s="162"/>
      <c r="P925" s="158"/>
      <c r="Q925" s="158"/>
      <c r="R925" s="158"/>
      <c r="S925" s="158"/>
      <c r="T925" s="158"/>
      <c r="U925" s="158"/>
      <c r="V925" s="158"/>
      <c r="W925" s="158"/>
      <c r="X925" s="166"/>
      <c r="Y925" s="154"/>
      <c r="Z925" s="147"/>
      <c r="AA925" s="147"/>
      <c r="AB925" s="148"/>
      <c r="AC925" s="678"/>
      <c r="AD925" s="679"/>
      <c r="AE925" s="679"/>
      <c r="AF925" s="680"/>
      <c r="AI925" s="109" t="str">
        <f>"55:field211:" &amp; IF(I925="■",1,IF(L925="■",2,0))</f>
        <v>55:field211:0</v>
      </c>
    </row>
    <row r="926" spans="1:35" s="109" customFormat="1" ht="18.75" customHeight="1" x14ac:dyDescent="0.2">
      <c r="A926" s="139"/>
      <c r="B926" s="123"/>
      <c r="C926" s="248"/>
      <c r="D926" s="249"/>
      <c r="E926" s="128"/>
      <c r="F926" s="142"/>
      <c r="G926" s="128"/>
      <c r="H926" s="242" t="s">
        <v>197</v>
      </c>
      <c r="I926" s="150" t="s">
        <v>383</v>
      </c>
      <c r="J926" s="169" t="s">
        <v>250</v>
      </c>
      <c r="K926" s="179"/>
      <c r="L926" s="203" t="s">
        <v>383</v>
      </c>
      <c r="M926" s="169" t="s">
        <v>267</v>
      </c>
      <c r="N926" s="207"/>
      <c r="O926" s="162"/>
      <c r="P926" s="158"/>
      <c r="Q926" s="158"/>
      <c r="R926" s="158"/>
      <c r="S926" s="158"/>
      <c r="T926" s="158"/>
      <c r="U926" s="158"/>
      <c r="V926" s="158"/>
      <c r="W926" s="158"/>
      <c r="X926" s="166"/>
      <c r="Y926" s="154"/>
      <c r="Z926" s="147"/>
      <c r="AA926" s="147"/>
      <c r="AB926" s="148"/>
      <c r="AC926" s="678"/>
      <c r="AD926" s="679"/>
      <c r="AE926" s="679"/>
      <c r="AF926" s="680"/>
      <c r="AI926" s="109" t="str">
        <f>"55:field212:" &amp; IF(I926="■",1,IF(L926="■",2,0))</f>
        <v>55:field212:0</v>
      </c>
    </row>
    <row r="927" spans="1:35" s="109" customFormat="1" ht="18.75" customHeight="1" x14ac:dyDescent="0.2">
      <c r="A927" s="139"/>
      <c r="B927" s="123"/>
      <c r="C927" s="248"/>
      <c r="D927" s="249"/>
      <c r="E927" s="128"/>
      <c r="F927" s="142"/>
      <c r="G927" s="128"/>
      <c r="H927" s="242" t="s">
        <v>206</v>
      </c>
      <c r="I927" s="150" t="s">
        <v>383</v>
      </c>
      <c r="J927" s="169" t="s">
        <v>250</v>
      </c>
      <c r="K927" s="179"/>
      <c r="L927" s="203" t="s">
        <v>383</v>
      </c>
      <c r="M927" s="169" t="s">
        <v>267</v>
      </c>
      <c r="N927" s="207"/>
      <c r="O927" s="162"/>
      <c r="P927" s="158"/>
      <c r="Q927" s="158"/>
      <c r="R927" s="158"/>
      <c r="S927" s="158"/>
      <c r="T927" s="158"/>
      <c r="U927" s="158"/>
      <c r="V927" s="158"/>
      <c r="W927" s="158"/>
      <c r="X927" s="166"/>
      <c r="Y927" s="154"/>
      <c r="Z927" s="147"/>
      <c r="AA927" s="147"/>
      <c r="AB927" s="148"/>
      <c r="AC927" s="678"/>
      <c r="AD927" s="679"/>
      <c r="AE927" s="679"/>
      <c r="AF927" s="680"/>
      <c r="AI927" s="109" t="str">
        <f>"55:field209:" &amp; IF(I927="■",1,IF(L927="■",2,0))</f>
        <v>55:field209:0</v>
      </c>
    </row>
    <row r="928" spans="1:35" s="109" customFormat="1" ht="18.75" customHeight="1" x14ac:dyDescent="0.2">
      <c r="A928" s="139"/>
      <c r="B928" s="123"/>
      <c r="C928" s="248"/>
      <c r="D928" s="249"/>
      <c r="E928" s="128"/>
      <c r="F928" s="142"/>
      <c r="G928" s="128"/>
      <c r="H928" s="242" t="s">
        <v>461</v>
      </c>
      <c r="I928" s="156" t="s">
        <v>383</v>
      </c>
      <c r="J928" s="157" t="s">
        <v>250</v>
      </c>
      <c r="K928" s="157"/>
      <c r="L928" s="160" t="s">
        <v>383</v>
      </c>
      <c r="M928" s="169" t="s">
        <v>267</v>
      </c>
      <c r="N928" s="157"/>
      <c r="O928" s="157"/>
      <c r="P928" s="157"/>
      <c r="Q928" s="158"/>
      <c r="R928" s="158"/>
      <c r="S928" s="158"/>
      <c r="T928" s="158"/>
      <c r="U928" s="158"/>
      <c r="V928" s="158"/>
      <c r="W928" s="158"/>
      <c r="X928" s="166"/>
      <c r="Y928" s="154"/>
      <c r="Z928" s="147"/>
      <c r="AA928" s="147"/>
      <c r="AB928" s="148"/>
      <c r="AC928" s="678"/>
      <c r="AD928" s="679"/>
      <c r="AE928" s="679"/>
      <c r="AF928" s="680"/>
      <c r="AI928" s="109" t="str">
        <f>"55:field226:" &amp; IF(I928="■",1,IF(L928="■",2,0))</f>
        <v>55:field226:0</v>
      </c>
    </row>
    <row r="929" spans="1:36" s="109" customFormat="1" ht="18.75" customHeight="1" x14ac:dyDescent="0.2">
      <c r="A929" s="139"/>
      <c r="B929" s="123"/>
      <c r="C929" s="248"/>
      <c r="D929" s="249"/>
      <c r="E929" s="128"/>
      <c r="F929" s="142"/>
      <c r="G929" s="128"/>
      <c r="H929" s="242" t="s">
        <v>462</v>
      </c>
      <c r="I929" s="156" t="s">
        <v>383</v>
      </c>
      <c r="J929" s="157" t="s">
        <v>250</v>
      </c>
      <c r="K929" s="157"/>
      <c r="L929" s="160" t="s">
        <v>383</v>
      </c>
      <c r="M929" s="169" t="s">
        <v>267</v>
      </c>
      <c r="N929" s="157"/>
      <c r="O929" s="157"/>
      <c r="P929" s="157"/>
      <c r="Q929" s="158"/>
      <c r="R929" s="158"/>
      <c r="S929" s="158"/>
      <c r="T929" s="158"/>
      <c r="U929" s="158"/>
      <c r="V929" s="158"/>
      <c r="W929" s="158"/>
      <c r="X929" s="166"/>
      <c r="Y929" s="154"/>
      <c r="Z929" s="147"/>
      <c r="AA929" s="147"/>
      <c r="AB929" s="148"/>
      <c r="AC929" s="678"/>
      <c r="AD929" s="679"/>
      <c r="AE929" s="679"/>
      <c r="AF929" s="680"/>
      <c r="AI929" s="109" t="str">
        <f>"55:field227:" &amp; IF(I929="■",1,IF(L929="■",2,0))</f>
        <v>55:field227:0</v>
      </c>
    </row>
    <row r="930" spans="1:36" s="109" customFormat="1" ht="18.75" customHeight="1" x14ac:dyDescent="0.2">
      <c r="A930" s="139"/>
      <c r="B930" s="123"/>
      <c r="C930" s="248"/>
      <c r="D930" s="249"/>
      <c r="E930" s="128"/>
      <c r="F930" s="142"/>
      <c r="G930" s="128"/>
      <c r="H930" s="250" t="s">
        <v>442</v>
      </c>
      <c r="I930" s="156" t="s">
        <v>383</v>
      </c>
      <c r="J930" s="157" t="s">
        <v>250</v>
      </c>
      <c r="K930" s="157"/>
      <c r="L930" s="160" t="s">
        <v>383</v>
      </c>
      <c r="M930" s="157" t="s">
        <v>251</v>
      </c>
      <c r="N930" s="157"/>
      <c r="O930" s="160" t="s">
        <v>383</v>
      </c>
      <c r="P930" s="157" t="s">
        <v>252</v>
      </c>
      <c r="Q930" s="162"/>
      <c r="R930" s="162"/>
      <c r="S930" s="162"/>
      <c r="T930" s="162"/>
      <c r="U930" s="251"/>
      <c r="V930" s="251"/>
      <c r="W930" s="251"/>
      <c r="X930" s="252"/>
      <c r="Y930" s="154"/>
      <c r="Z930" s="147"/>
      <c r="AA930" s="147"/>
      <c r="AB930" s="148"/>
      <c r="AC930" s="678"/>
      <c r="AD930" s="679"/>
      <c r="AE930" s="679"/>
      <c r="AF930" s="680"/>
      <c r="AI930" s="109" t="str">
        <f>"55:field225:" &amp; IF(I930="■",1,IF(L930="■",2,IF(O930="■",3,0)))</f>
        <v>55:field225:0</v>
      </c>
    </row>
    <row r="931" spans="1:36" s="109" customFormat="1" ht="18.75" customHeight="1" x14ac:dyDescent="0.2">
      <c r="A931" s="139"/>
      <c r="B931" s="123"/>
      <c r="C931" s="248"/>
      <c r="D931" s="249"/>
      <c r="E931" s="128"/>
      <c r="F931" s="142"/>
      <c r="G931" s="128"/>
      <c r="H931" s="242" t="s">
        <v>118</v>
      </c>
      <c r="I931" s="156" t="s">
        <v>383</v>
      </c>
      <c r="J931" s="157" t="s">
        <v>250</v>
      </c>
      <c r="K931" s="157"/>
      <c r="L931" s="160" t="s">
        <v>383</v>
      </c>
      <c r="M931" s="157" t="s">
        <v>258</v>
      </c>
      <c r="N931" s="157"/>
      <c r="O931" s="160" t="s">
        <v>383</v>
      </c>
      <c r="P931" s="157" t="s">
        <v>259</v>
      </c>
      <c r="Q931" s="207"/>
      <c r="R931" s="160" t="s">
        <v>383</v>
      </c>
      <c r="S931" s="157" t="s">
        <v>283</v>
      </c>
      <c r="T931" s="157"/>
      <c r="U931" s="157"/>
      <c r="V931" s="157"/>
      <c r="W931" s="157"/>
      <c r="X931" s="165"/>
      <c r="Y931" s="154"/>
      <c r="Z931" s="147"/>
      <c r="AA931" s="147"/>
      <c r="AB931" s="148"/>
      <c r="AC931" s="678"/>
      <c r="AD931" s="679"/>
      <c r="AE931" s="679"/>
      <c r="AF931" s="680"/>
      <c r="AI931" s="109" t="str">
        <f>"55:serteikyo_kyoka_code:" &amp; IF(I931="■",1,IF(L931="■",6,IF(O931="■",5,IF(R931="■",7,0))))</f>
        <v>55:serteikyo_kyoka_code:0</v>
      </c>
    </row>
    <row r="932" spans="1:36" s="621" customFormat="1" ht="18.75" customHeight="1" x14ac:dyDescent="0.2">
      <c r="A932" s="139"/>
      <c r="B932" s="670"/>
      <c r="C932" s="248"/>
      <c r="D932" s="249"/>
      <c r="E932" s="128"/>
      <c r="F932" s="142"/>
      <c r="G932" s="143"/>
      <c r="H932" s="713" t="s">
        <v>790</v>
      </c>
      <c r="I932" s="642" t="s">
        <v>383</v>
      </c>
      <c r="J932" s="616" t="s">
        <v>627</v>
      </c>
      <c r="K932" s="616"/>
      <c r="L932" s="615"/>
      <c r="M932" s="644" t="s">
        <v>383</v>
      </c>
      <c r="N932" s="616" t="s">
        <v>791</v>
      </c>
      <c r="O932" s="617"/>
      <c r="P932" s="615"/>
      <c r="Q932" s="644" t="s">
        <v>383</v>
      </c>
      <c r="R932" s="618" t="s">
        <v>802</v>
      </c>
      <c r="S932" s="615"/>
      <c r="T932" s="615"/>
      <c r="U932" s="615"/>
      <c r="V932" s="618"/>
      <c r="W932" s="619"/>
      <c r="X932" s="620"/>
      <c r="Y932" s="154"/>
      <c r="Z932" s="147"/>
      <c r="AA932" s="147"/>
      <c r="AB932" s="148"/>
      <c r="AC932" s="678"/>
      <c r="AD932" s="679"/>
      <c r="AE932" s="679"/>
      <c r="AF932" s="680"/>
    </row>
    <row r="933" spans="1:36" s="621" customFormat="1" ht="18.75" customHeight="1" x14ac:dyDescent="0.2">
      <c r="A933" s="139"/>
      <c r="B933" s="670"/>
      <c r="C933" s="248"/>
      <c r="D933" s="249"/>
      <c r="E933" s="128"/>
      <c r="F933" s="142"/>
      <c r="G933" s="143"/>
      <c r="H933" s="714"/>
      <c r="I933" s="643" t="s">
        <v>383</v>
      </c>
      <c r="J933" s="623" t="s">
        <v>803</v>
      </c>
      <c r="K933" s="623"/>
      <c r="L933" s="622"/>
      <c r="M933" s="211" t="s">
        <v>383</v>
      </c>
      <c r="N933" s="623" t="s">
        <v>804</v>
      </c>
      <c r="O933" s="624"/>
      <c r="P933" s="622"/>
      <c r="Q933" s="211" t="s">
        <v>383</v>
      </c>
      <c r="R933" s="623" t="s">
        <v>795</v>
      </c>
      <c r="S933" s="622"/>
      <c r="T933" s="623"/>
      <c r="U933" s="211" t="s">
        <v>383</v>
      </c>
      <c r="V933" s="623" t="s">
        <v>796</v>
      </c>
      <c r="W933" s="625"/>
      <c r="X933" s="626"/>
      <c r="Y933" s="154"/>
      <c r="Z933" s="147"/>
      <c r="AA933" s="147"/>
      <c r="AB933" s="148"/>
      <c r="AC933" s="678"/>
      <c r="AD933" s="679"/>
      <c r="AE933" s="679"/>
      <c r="AF933" s="680"/>
    </row>
    <row r="934" spans="1:36" s="109" customFormat="1" ht="18.75" customHeight="1" x14ac:dyDescent="0.2">
      <c r="A934" s="129"/>
      <c r="B934" s="116"/>
      <c r="C934" s="272"/>
      <c r="D934" s="273"/>
      <c r="E934" s="121"/>
      <c r="F934" s="132"/>
      <c r="G934" s="121"/>
      <c r="H934" s="778" t="s">
        <v>97</v>
      </c>
      <c r="I934" s="447" t="s">
        <v>383</v>
      </c>
      <c r="J934" s="448" t="s">
        <v>300</v>
      </c>
      <c r="K934" s="449"/>
      <c r="L934" s="451"/>
      <c r="M934" s="450" t="s">
        <v>383</v>
      </c>
      <c r="N934" s="448" t="s">
        <v>328</v>
      </c>
      <c r="O934" s="451"/>
      <c r="P934" s="451"/>
      <c r="Q934" s="450" t="s">
        <v>383</v>
      </c>
      <c r="R934" s="448" t="s">
        <v>329</v>
      </c>
      <c r="S934" s="451"/>
      <c r="T934" s="451"/>
      <c r="U934" s="450" t="s">
        <v>383</v>
      </c>
      <c r="V934" s="448" t="s">
        <v>330</v>
      </c>
      <c r="W934" s="451"/>
      <c r="X934" s="452"/>
      <c r="Y934" s="138" t="s">
        <v>383</v>
      </c>
      <c r="Z934" s="119" t="s">
        <v>249</v>
      </c>
      <c r="AA934" s="119"/>
      <c r="AB934" s="137"/>
      <c r="AC934" s="675"/>
      <c r="AD934" s="676"/>
      <c r="AE934" s="676"/>
      <c r="AF934" s="677"/>
      <c r="AG934" s="109" t="str">
        <f>"ser_code = '" &amp; IF(A944="■",55,"") &amp; "'"</f>
        <v>ser_code = ''</v>
      </c>
      <c r="AH934" s="109" t="str">
        <f>"55:jininkbn_code:" &amp; IF(F944="■",1,IF(F945="■",2,0))</f>
        <v>55:jininkbn_code:0</v>
      </c>
      <c r="AI934" s="109" t="str">
        <f>"55:yakan_kinmu_code:" &amp; IF(I934="■",1,IF(M934="■",2,IF(Q934="■",3,IF(U934="■",AJ7608,IF(I935="■",5,IF(M935="■",6,0))))))</f>
        <v>55:yakan_kinmu_code:0</v>
      </c>
      <c r="AJ934" s="109" t="str">
        <f>"55:field203:" &amp; IF(Y934="■",1,IF(Y935="■",2,0))</f>
        <v>55:field203:0</v>
      </c>
    </row>
    <row r="935" spans="1:36" s="109" customFormat="1" ht="18.75" customHeight="1" x14ac:dyDescent="0.2">
      <c r="A935" s="139"/>
      <c r="B935" s="123"/>
      <c r="C935" s="248"/>
      <c r="D935" s="249"/>
      <c r="E935" s="128"/>
      <c r="F935" s="142"/>
      <c r="G935" s="128"/>
      <c r="H935" s="769"/>
      <c r="I935" s="400" t="s">
        <v>383</v>
      </c>
      <c r="J935" s="401" t="s">
        <v>331</v>
      </c>
      <c r="K935" s="453"/>
      <c r="L935" s="403"/>
      <c r="M935" s="402" t="s">
        <v>383</v>
      </c>
      <c r="N935" s="401" t="s">
        <v>301</v>
      </c>
      <c r="O935" s="403"/>
      <c r="P935" s="403"/>
      <c r="Q935" s="403"/>
      <c r="R935" s="403"/>
      <c r="S935" s="403"/>
      <c r="T935" s="403"/>
      <c r="U935" s="403"/>
      <c r="V935" s="403"/>
      <c r="W935" s="403"/>
      <c r="X935" s="404"/>
      <c r="Y935" s="125" t="s">
        <v>383</v>
      </c>
      <c r="Z935" s="126" t="s">
        <v>255</v>
      </c>
      <c r="AA935" s="147"/>
      <c r="AB935" s="148"/>
      <c r="AC935" s="678"/>
      <c r="AD935" s="679"/>
      <c r="AE935" s="679"/>
      <c r="AF935" s="680"/>
      <c r="AG935" s="109" t="str">
        <f>"55:sisetukbn_code:" &amp; IF(D944="■",3,0)</f>
        <v>55:sisetukbn_code:0</v>
      </c>
    </row>
    <row r="936" spans="1:36" s="109" customFormat="1" ht="18.75" customHeight="1" x14ac:dyDescent="0.2">
      <c r="A936" s="139"/>
      <c r="B936" s="123"/>
      <c r="C936" s="248"/>
      <c r="D936" s="249"/>
      <c r="E936" s="128"/>
      <c r="F936" s="142"/>
      <c r="G936" s="128"/>
      <c r="H936" s="767" t="s">
        <v>93</v>
      </c>
      <c r="I936" s="394" t="s">
        <v>383</v>
      </c>
      <c r="J936" s="395" t="s">
        <v>250</v>
      </c>
      <c r="K936" s="395"/>
      <c r="L936" s="398"/>
      <c r="M936" s="397" t="s">
        <v>383</v>
      </c>
      <c r="N936" s="395" t="s">
        <v>289</v>
      </c>
      <c r="O936" s="395"/>
      <c r="P936" s="398"/>
      <c r="Q936" s="397" t="s">
        <v>383</v>
      </c>
      <c r="R936" s="398" t="s">
        <v>372</v>
      </c>
      <c r="S936" s="398"/>
      <c r="T936" s="398"/>
      <c r="U936" s="397" t="s">
        <v>383</v>
      </c>
      <c r="V936" s="398" t="s">
        <v>373</v>
      </c>
      <c r="W936" s="424"/>
      <c r="X936" s="425"/>
      <c r="Y936" s="154"/>
      <c r="Z936" s="147"/>
      <c r="AA936" s="147"/>
      <c r="AB936" s="148"/>
      <c r="AC936" s="678"/>
      <c r="AD936" s="679"/>
      <c r="AE936" s="679"/>
      <c r="AF936" s="680"/>
      <c r="AI936" s="109" t="str">
        <f>"55:"&amp;IF(AND(I936="□",M936="□",Q936="□",U936="□",I937="□",M937="□"),"ketu_doctor_code:0",IF(I936="■","ketu_doctor_code:1:field197:1:ketu_kangos_code:1:ketu_kshoku_code:1:ketu_ksiensou_code:1",IF(M936="■","ketu_doctor_code:2","ketu_doctor_code:1")
&amp;IF(Q936="■",":field197:2",":field197:1")
&amp;IF(U936="■",":ketu_kangos_code:2",":ketu_kangos_code:1")
&amp;IF(I937="■",":ketu_kshoku_code:2",":ketu_kshoku_code:1")
&amp;IF(M937="■",":ketu_ksiensou_code:2",":ketu_ksiensou_code:1")))</f>
        <v>55:ketu_doctor_code:0</v>
      </c>
    </row>
    <row r="937" spans="1:36" s="109" customFormat="1" ht="18.75" customHeight="1" x14ac:dyDescent="0.2">
      <c r="A937" s="139"/>
      <c r="B937" s="123"/>
      <c r="C937" s="248"/>
      <c r="D937" s="249"/>
      <c r="E937" s="128"/>
      <c r="F937" s="142"/>
      <c r="G937" s="128"/>
      <c r="H937" s="769"/>
      <c r="I937" s="400" t="s">
        <v>383</v>
      </c>
      <c r="J937" s="403" t="s">
        <v>374</v>
      </c>
      <c r="K937" s="401"/>
      <c r="L937" s="403"/>
      <c r="M937" s="402" t="s">
        <v>383</v>
      </c>
      <c r="N937" s="401" t="s">
        <v>422</v>
      </c>
      <c r="O937" s="401"/>
      <c r="P937" s="403"/>
      <c r="Q937" s="403"/>
      <c r="R937" s="403"/>
      <c r="S937" s="403"/>
      <c r="T937" s="403"/>
      <c r="U937" s="403"/>
      <c r="V937" s="403"/>
      <c r="W937" s="426"/>
      <c r="X937" s="427"/>
      <c r="Y937" s="154"/>
      <c r="Z937" s="147"/>
      <c r="AA937" s="147"/>
      <c r="AB937" s="148"/>
      <c r="AC937" s="678"/>
      <c r="AD937" s="679"/>
      <c r="AE937" s="679"/>
      <c r="AF937" s="680"/>
    </row>
    <row r="938" spans="1:36" s="109" customFormat="1" ht="18.75" customHeight="1" x14ac:dyDescent="0.2">
      <c r="A938" s="139"/>
      <c r="B938" s="123"/>
      <c r="C938" s="248"/>
      <c r="D938" s="249"/>
      <c r="E938" s="128"/>
      <c r="F938" s="142"/>
      <c r="G938" s="128"/>
      <c r="H938" s="405" t="s">
        <v>107</v>
      </c>
      <c r="I938" s="406" t="s">
        <v>383</v>
      </c>
      <c r="J938" s="345" t="s">
        <v>395</v>
      </c>
      <c r="K938" s="362"/>
      <c r="L938" s="407"/>
      <c r="M938" s="408" t="s">
        <v>383</v>
      </c>
      <c r="N938" s="345" t="s">
        <v>396</v>
      </c>
      <c r="O938" s="346"/>
      <c r="P938" s="362"/>
      <c r="Q938" s="362"/>
      <c r="R938" s="362"/>
      <c r="S938" s="362"/>
      <c r="T938" s="362"/>
      <c r="U938" s="362"/>
      <c r="V938" s="362"/>
      <c r="W938" s="362"/>
      <c r="X938" s="363"/>
      <c r="Y938" s="154"/>
      <c r="Z938" s="147"/>
      <c r="AA938" s="147"/>
      <c r="AB938" s="148"/>
      <c r="AC938" s="678"/>
      <c r="AD938" s="679"/>
      <c r="AE938" s="679"/>
      <c r="AF938" s="680"/>
      <c r="AI938" s="109" t="str">
        <f>"55:sintaikousoku_code:" &amp; IF(I938="■",1,IF(M938="■",2,0))</f>
        <v>55:sintaikousoku_code:0</v>
      </c>
    </row>
    <row r="939" spans="1:36" s="109" customFormat="1" ht="18.75" customHeight="1" x14ac:dyDescent="0.2">
      <c r="A939" s="139"/>
      <c r="B939" s="123"/>
      <c r="C939" s="248"/>
      <c r="D939" s="249"/>
      <c r="E939" s="128"/>
      <c r="F939" s="142"/>
      <c r="G939" s="128"/>
      <c r="H939" s="405" t="s">
        <v>200</v>
      </c>
      <c r="I939" s="406" t="s">
        <v>383</v>
      </c>
      <c r="J939" s="345" t="s">
        <v>395</v>
      </c>
      <c r="K939" s="362"/>
      <c r="L939" s="407"/>
      <c r="M939" s="408" t="s">
        <v>383</v>
      </c>
      <c r="N939" s="345" t="s">
        <v>396</v>
      </c>
      <c r="O939" s="346"/>
      <c r="P939" s="362"/>
      <c r="Q939" s="362"/>
      <c r="R939" s="362"/>
      <c r="S939" s="362"/>
      <c r="T939" s="362"/>
      <c r="U939" s="362"/>
      <c r="V939" s="362"/>
      <c r="W939" s="362"/>
      <c r="X939" s="363"/>
      <c r="Y939" s="154"/>
      <c r="Z939" s="147"/>
      <c r="AA939" s="147"/>
      <c r="AB939" s="148"/>
      <c r="AC939" s="678"/>
      <c r="AD939" s="679"/>
      <c r="AE939" s="679"/>
      <c r="AF939" s="680"/>
      <c r="AI939" s="109" t="str">
        <f>"55:field208:" &amp; IF(I939="■",1,IF(M939="■",2,0))</f>
        <v>55:field208:0</v>
      </c>
    </row>
    <row r="940" spans="1:36" s="109" customFormat="1" ht="19.5" customHeight="1" x14ac:dyDescent="0.2">
      <c r="A940" s="139"/>
      <c r="B940" s="123"/>
      <c r="C940" s="140"/>
      <c r="D940" s="141"/>
      <c r="E940" s="128"/>
      <c r="F940" s="142"/>
      <c r="G940" s="143"/>
      <c r="H940" s="422" t="s">
        <v>430</v>
      </c>
      <c r="I940" s="406" t="s">
        <v>383</v>
      </c>
      <c r="J940" s="345" t="s">
        <v>395</v>
      </c>
      <c r="K940" s="362"/>
      <c r="L940" s="407"/>
      <c r="M940" s="408" t="s">
        <v>383</v>
      </c>
      <c r="N940" s="345" t="s">
        <v>431</v>
      </c>
      <c r="O940" s="344"/>
      <c r="P940" s="345"/>
      <c r="Q940" s="346"/>
      <c r="R940" s="346"/>
      <c r="S940" s="346"/>
      <c r="T940" s="346"/>
      <c r="U940" s="346"/>
      <c r="V940" s="346"/>
      <c r="W940" s="346"/>
      <c r="X940" s="347"/>
      <c r="Y940" s="147"/>
      <c r="Z940" s="147"/>
      <c r="AA940" s="147"/>
      <c r="AB940" s="148"/>
      <c r="AC940" s="678"/>
      <c r="AD940" s="679"/>
      <c r="AE940" s="679"/>
      <c r="AF940" s="680"/>
      <c r="AI940" s="109" t="str">
        <f>"55:field223:" &amp; IF(I940="■",1,IF(M940="■",2,0))</f>
        <v>55:field223:0</v>
      </c>
    </row>
    <row r="941" spans="1:36" s="109" customFormat="1" ht="19.5" customHeight="1" x14ac:dyDescent="0.2">
      <c r="A941" s="139"/>
      <c r="B941" s="123"/>
      <c r="C941" s="140"/>
      <c r="D941" s="141"/>
      <c r="E941" s="128"/>
      <c r="F941" s="142"/>
      <c r="G941" s="143"/>
      <c r="H941" s="422" t="s">
        <v>448</v>
      </c>
      <c r="I941" s="406" t="s">
        <v>383</v>
      </c>
      <c r="J941" s="345" t="s">
        <v>395</v>
      </c>
      <c r="K941" s="362"/>
      <c r="L941" s="407"/>
      <c r="M941" s="408" t="s">
        <v>383</v>
      </c>
      <c r="N941" s="345" t="s">
        <v>431</v>
      </c>
      <c r="O941" s="344"/>
      <c r="P941" s="345"/>
      <c r="Q941" s="346"/>
      <c r="R941" s="346"/>
      <c r="S941" s="346"/>
      <c r="T941" s="346"/>
      <c r="U941" s="346"/>
      <c r="V941" s="346"/>
      <c r="W941" s="346"/>
      <c r="X941" s="347"/>
      <c r="Y941" s="147"/>
      <c r="Z941" s="147"/>
      <c r="AA941" s="147"/>
      <c r="AB941" s="148"/>
      <c r="AC941" s="678"/>
      <c r="AD941" s="679"/>
      <c r="AE941" s="679"/>
      <c r="AF941" s="680"/>
      <c r="AI941" s="109" t="str">
        <f>"55:field232:" &amp; IF(I941="■",1,IF(M941="■",2,0))</f>
        <v>55:field232:0</v>
      </c>
    </row>
    <row r="942" spans="1:36" s="109" customFormat="1" ht="18.75" customHeight="1" x14ac:dyDescent="0.2">
      <c r="A942" s="139"/>
      <c r="B942" s="123"/>
      <c r="C942" s="248"/>
      <c r="D942" s="249"/>
      <c r="E942" s="128"/>
      <c r="F942" s="142"/>
      <c r="G942" s="128"/>
      <c r="H942" s="770" t="s">
        <v>202</v>
      </c>
      <c r="I942" s="772" t="s">
        <v>383</v>
      </c>
      <c r="J942" s="774" t="s">
        <v>250</v>
      </c>
      <c r="K942" s="774"/>
      <c r="L942" s="776" t="s">
        <v>383</v>
      </c>
      <c r="M942" s="774" t="s">
        <v>267</v>
      </c>
      <c r="N942" s="774"/>
      <c r="O942" s="398"/>
      <c r="P942" s="398"/>
      <c r="Q942" s="398"/>
      <c r="R942" s="398"/>
      <c r="S942" s="398"/>
      <c r="T942" s="398"/>
      <c r="U942" s="398"/>
      <c r="V942" s="398"/>
      <c r="W942" s="398"/>
      <c r="X942" s="399"/>
      <c r="Y942" s="154"/>
      <c r="Z942" s="147"/>
      <c r="AA942" s="147"/>
      <c r="AB942" s="148"/>
      <c r="AC942" s="678"/>
      <c r="AD942" s="679"/>
      <c r="AE942" s="679"/>
      <c r="AF942" s="680"/>
      <c r="AI942" s="109" t="str">
        <f>"55:field206:" &amp; IF(I942="■",1,IF(L942="■",2,0))</f>
        <v>55:field206:0</v>
      </c>
    </row>
    <row r="943" spans="1:36" s="109" customFormat="1" ht="18.75" customHeight="1" x14ac:dyDescent="0.2">
      <c r="A943" s="139"/>
      <c r="B943" s="123"/>
      <c r="C943" s="248"/>
      <c r="D943" s="249"/>
      <c r="E943" s="128"/>
      <c r="F943" s="142"/>
      <c r="G943" s="128"/>
      <c r="H943" s="771"/>
      <c r="I943" s="773"/>
      <c r="J943" s="775"/>
      <c r="K943" s="775"/>
      <c r="L943" s="777"/>
      <c r="M943" s="775"/>
      <c r="N943" s="775"/>
      <c r="O943" s="403"/>
      <c r="P943" s="403"/>
      <c r="Q943" s="403"/>
      <c r="R943" s="403"/>
      <c r="S943" s="403"/>
      <c r="T943" s="403"/>
      <c r="U943" s="403"/>
      <c r="V943" s="403"/>
      <c r="W943" s="403"/>
      <c r="X943" s="404"/>
      <c r="Y943" s="154"/>
      <c r="Z943" s="147"/>
      <c r="AA943" s="147"/>
      <c r="AB943" s="148"/>
      <c r="AC943" s="678"/>
      <c r="AD943" s="679"/>
      <c r="AE943" s="679"/>
      <c r="AF943" s="680"/>
    </row>
    <row r="944" spans="1:36" s="109" customFormat="1" ht="18.75" customHeight="1" x14ac:dyDescent="0.2">
      <c r="A944" s="125" t="s">
        <v>383</v>
      </c>
      <c r="B944" s="123">
        <v>55</v>
      </c>
      <c r="C944" s="248" t="s">
        <v>424</v>
      </c>
      <c r="D944" s="125" t="s">
        <v>383</v>
      </c>
      <c r="E944" s="128" t="s">
        <v>380</v>
      </c>
      <c r="F944" s="125" t="s">
        <v>383</v>
      </c>
      <c r="G944" s="128" t="s">
        <v>379</v>
      </c>
      <c r="H944" s="405" t="s">
        <v>164</v>
      </c>
      <c r="I944" s="406" t="s">
        <v>383</v>
      </c>
      <c r="J944" s="345" t="s">
        <v>420</v>
      </c>
      <c r="K944" s="362"/>
      <c r="L944" s="407"/>
      <c r="M944" s="408" t="s">
        <v>383</v>
      </c>
      <c r="N944" s="345" t="s">
        <v>332</v>
      </c>
      <c r="O944" s="346"/>
      <c r="P944" s="362"/>
      <c r="Q944" s="362"/>
      <c r="R944" s="362"/>
      <c r="S944" s="362"/>
      <c r="T944" s="362"/>
      <c r="U944" s="362"/>
      <c r="V944" s="362"/>
      <c r="W944" s="362"/>
      <c r="X944" s="363"/>
      <c r="Y944" s="154"/>
      <c r="Z944" s="147"/>
      <c r="AA944" s="147"/>
      <c r="AB944" s="148"/>
      <c r="AC944" s="678"/>
      <c r="AD944" s="679"/>
      <c r="AE944" s="679"/>
      <c r="AF944" s="680"/>
      <c r="AI944" s="109" t="str">
        <f>"55:field190:" &amp; IF(I944="■",1,IF(M944="■",2,0))</f>
        <v>55:field190:0</v>
      </c>
    </row>
    <row r="945" spans="1:36" s="109" customFormat="1" ht="18.75" customHeight="1" x14ac:dyDescent="0.2">
      <c r="A945" s="139"/>
      <c r="B945" s="123"/>
      <c r="C945" s="248"/>
      <c r="D945" s="249"/>
      <c r="E945" s="128"/>
      <c r="F945" s="249"/>
      <c r="G945" s="128"/>
      <c r="H945" s="405" t="s">
        <v>165</v>
      </c>
      <c r="I945" s="406" t="s">
        <v>383</v>
      </c>
      <c r="J945" s="345" t="s">
        <v>420</v>
      </c>
      <c r="K945" s="362"/>
      <c r="L945" s="407"/>
      <c r="M945" s="408" t="s">
        <v>383</v>
      </c>
      <c r="N945" s="345" t="s">
        <v>332</v>
      </c>
      <c r="O945" s="346"/>
      <c r="P945" s="362"/>
      <c r="Q945" s="362"/>
      <c r="R945" s="362"/>
      <c r="S945" s="362"/>
      <c r="T945" s="362"/>
      <c r="U945" s="362"/>
      <c r="V945" s="362"/>
      <c r="W945" s="362"/>
      <c r="X945" s="363"/>
      <c r="Y945" s="154"/>
      <c r="Z945" s="147"/>
      <c r="AA945" s="147"/>
      <c r="AB945" s="148"/>
      <c r="AC945" s="678"/>
      <c r="AD945" s="679"/>
      <c r="AE945" s="679"/>
      <c r="AF945" s="680"/>
      <c r="AI945" s="109" t="str">
        <f>"55:field191:" &amp; IF(I945="■",1,IF(M945="■",2,0))</f>
        <v>55:field191:0</v>
      </c>
    </row>
    <row r="946" spans="1:36" s="109" customFormat="1" ht="18.75" customHeight="1" x14ac:dyDescent="0.2">
      <c r="A946" s="139"/>
      <c r="B946" s="123"/>
      <c r="C946" s="248"/>
      <c r="D946" s="249"/>
      <c r="E946" s="128"/>
      <c r="F946" s="249"/>
      <c r="G946" s="128"/>
      <c r="H946" s="405" t="s">
        <v>122</v>
      </c>
      <c r="I946" s="400" t="s">
        <v>383</v>
      </c>
      <c r="J946" s="401" t="s">
        <v>250</v>
      </c>
      <c r="K946" s="453"/>
      <c r="L946" s="402" t="s">
        <v>383</v>
      </c>
      <c r="M946" s="401" t="s">
        <v>267</v>
      </c>
      <c r="N946" s="430"/>
      <c r="O946" s="362"/>
      <c r="P946" s="362"/>
      <c r="Q946" s="362"/>
      <c r="R946" s="362"/>
      <c r="S946" s="362"/>
      <c r="T946" s="362"/>
      <c r="U946" s="362"/>
      <c r="V946" s="362"/>
      <c r="W946" s="362"/>
      <c r="X946" s="363"/>
      <c r="Y946" s="154"/>
      <c r="Z946" s="147"/>
      <c r="AA946" s="147"/>
      <c r="AB946" s="148"/>
      <c r="AC946" s="678"/>
      <c r="AD946" s="679"/>
      <c r="AE946" s="679"/>
      <c r="AF946" s="680"/>
      <c r="AI946" s="109" t="str">
        <f>"55:jyakuninti_uke_code:" &amp; IF(I946="■",1,IF(L946="■",2,0))</f>
        <v>55:jyakuninti_uke_code:0</v>
      </c>
    </row>
    <row r="947" spans="1:36" s="109" customFormat="1" ht="18.75" customHeight="1" x14ac:dyDescent="0.2">
      <c r="A947" s="139"/>
      <c r="B947" s="123"/>
      <c r="C947" s="248"/>
      <c r="D947" s="249"/>
      <c r="E947" s="128"/>
      <c r="F947" s="249"/>
      <c r="G947" s="128"/>
      <c r="H947" s="405" t="s">
        <v>199</v>
      </c>
      <c r="I947" s="400" t="s">
        <v>383</v>
      </c>
      <c r="J947" s="401" t="s">
        <v>250</v>
      </c>
      <c r="K947" s="453"/>
      <c r="L947" s="402" t="s">
        <v>383</v>
      </c>
      <c r="M947" s="401" t="s">
        <v>267</v>
      </c>
      <c r="N947" s="430"/>
      <c r="O947" s="362"/>
      <c r="P947" s="362"/>
      <c r="Q947" s="362"/>
      <c r="R947" s="362"/>
      <c r="S947" s="362"/>
      <c r="T947" s="362"/>
      <c r="U947" s="362"/>
      <c r="V947" s="362"/>
      <c r="W947" s="362"/>
      <c r="X947" s="363"/>
      <c r="Y947" s="154"/>
      <c r="Z947" s="147"/>
      <c r="AA947" s="147"/>
      <c r="AB947" s="148"/>
      <c r="AC947" s="678"/>
      <c r="AD947" s="679"/>
      <c r="AE947" s="679"/>
      <c r="AF947" s="680"/>
      <c r="AI947" s="109" t="str">
        <f>"55:field207:" &amp; IF(I947="■",1,IF(L947="■",2,0))</f>
        <v>55:field207:0</v>
      </c>
    </row>
    <row r="948" spans="1:36" s="109" customFormat="1" ht="18.75" customHeight="1" x14ac:dyDescent="0.2">
      <c r="A948" s="139"/>
      <c r="B948" s="123"/>
      <c r="C948" s="248"/>
      <c r="D948" s="249"/>
      <c r="E948" s="128"/>
      <c r="F948" s="142"/>
      <c r="G948" s="128"/>
      <c r="H948" s="405" t="s">
        <v>112</v>
      </c>
      <c r="I948" s="400" t="s">
        <v>421</v>
      </c>
      <c r="J948" s="401" t="s">
        <v>250</v>
      </c>
      <c r="K948" s="453"/>
      <c r="L948" s="402" t="s">
        <v>383</v>
      </c>
      <c r="M948" s="401" t="s">
        <v>267</v>
      </c>
      <c r="N948" s="430"/>
      <c r="O948" s="362"/>
      <c r="P948" s="362"/>
      <c r="Q948" s="362"/>
      <c r="R948" s="362"/>
      <c r="S948" s="362"/>
      <c r="T948" s="362"/>
      <c r="U948" s="362"/>
      <c r="V948" s="362"/>
      <c r="W948" s="362"/>
      <c r="X948" s="363"/>
      <c r="Y948" s="154"/>
      <c r="Z948" s="147"/>
      <c r="AA948" s="147"/>
      <c r="AB948" s="148"/>
      <c r="AC948" s="678"/>
      <c r="AD948" s="679"/>
      <c r="AE948" s="679"/>
      <c r="AF948" s="680"/>
      <c r="AI948" s="109" t="str">
        <f>"55:ryouyoushoku_code:" &amp; IF(I948="■",1,IF(L948="■",2,0))</f>
        <v>55:ryouyoushoku_code:0</v>
      </c>
    </row>
    <row r="949" spans="1:36" s="109" customFormat="1" ht="18.75" customHeight="1" x14ac:dyDescent="0.2">
      <c r="A949" s="139"/>
      <c r="B949" s="123"/>
      <c r="C949" s="248"/>
      <c r="D949" s="249"/>
      <c r="E949" s="128"/>
      <c r="F949" s="142"/>
      <c r="G949" s="128"/>
      <c r="H949" s="405" t="s">
        <v>116</v>
      </c>
      <c r="I949" s="406" t="s">
        <v>383</v>
      </c>
      <c r="J949" s="345" t="s">
        <v>250</v>
      </c>
      <c r="K949" s="345"/>
      <c r="L949" s="408" t="s">
        <v>383</v>
      </c>
      <c r="M949" s="345" t="s">
        <v>251</v>
      </c>
      <c r="N949" s="345"/>
      <c r="O949" s="408" t="s">
        <v>383</v>
      </c>
      <c r="P949" s="345" t="s">
        <v>252</v>
      </c>
      <c r="Q949" s="346"/>
      <c r="R949" s="362"/>
      <c r="S949" s="362"/>
      <c r="T949" s="362"/>
      <c r="U949" s="362"/>
      <c r="V949" s="362"/>
      <c r="W949" s="362"/>
      <c r="X949" s="363"/>
      <c r="Y949" s="154"/>
      <c r="Z949" s="147"/>
      <c r="AA949" s="147"/>
      <c r="AB949" s="148"/>
      <c r="AC949" s="678"/>
      <c r="AD949" s="679"/>
      <c r="AE949" s="679"/>
      <c r="AF949" s="680"/>
      <c r="AI949" s="109" t="str">
        <f>"55:ninti_senmoncare_code:" &amp; IF(I949="■",1,IF(O949="■",3,IF(L949="■",2,0)))</f>
        <v>55:ninti_senmoncare_code:0</v>
      </c>
    </row>
    <row r="950" spans="1:36" s="109" customFormat="1" ht="18.75" customHeight="1" x14ac:dyDescent="0.2">
      <c r="A950" s="139"/>
      <c r="B950" s="123"/>
      <c r="C950" s="248"/>
      <c r="D950" s="249"/>
      <c r="E950" s="128"/>
      <c r="F950" s="142"/>
      <c r="G950" s="128"/>
      <c r="H950" s="405" t="s">
        <v>447</v>
      </c>
      <c r="I950" s="406" t="s">
        <v>383</v>
      </c>
      <c r="J950" s="345" t="s">
        <v>250</v>
      </c>
      <c r="K950" s="345"/>
      <c r="L950" s="408" t="s">
        <v>383</v>
      </c>
      <c r="M950" s="345" t="s">
        <v>251</v>
      </c>
      <c r="N950" s="345"/>
      <c r="O950" s="408" t="s">
        <v>383</v>
      </c>
      <c r="P950" s="345" t="s">
        <v>252</v>
      </c>
      <c r="Q950" s="362"/>
      <c r="R950" s="362"/>
      <c r="S950" s="362"/>
      <c r="T950" s="362"/>
      <c r="U950" s="362"/>
      <c r="V950" s="362"/>
      <c r="W950" s="362"/>
      <c r="X950" s="363"/>
      <c r="Y950" s="154"/>
      <c r="Z950" s="147"/>
      <c r="AA950" s="147"/>
      <c r="AB950" s="148"/>
      <c r="AC950" s="678"/>
      <c r="AD950" s="679"/>
      <c r="AE950" s="679"/>
      <c r="AF950" s="680"/>
      <c r="AI950" s="109" t="str">
        <f>"55:field228:" &amp; IF(I950="■",1,IF(L950="■",2,IF(O950="■",3,0)))</f>
        <v>55:field228:0</v>
      </c>
    </row>
    <row r="951" spans="1:36" s="109" customFormat="1" ht="18.75" customHeight="1" x14ac:dyDescent="0.2">
      <c r="A951" s="139"/>
      <c r="B951" s="123"/>
      <c r="C951" s="248"/>
      <c r="D951" s="249"/>
      <c r="E951" s="128"/>
      <c r="F951" s="142"/>
      <c r="G951" s="128"/>
      <c r="H951" s="405" t="s">
        <v>221</v>
      </c>
      <c r="I951" s="406" t="s">
        <v>383</v>
      </c>
      <c r="J951" s="345" t="s">
        <v>250</v>
      </c>
      <c r="K951" s="345"/>
      <c r="L951" s="408" t="s">
        <v>383</v>
      </c>
      <c r="M951" s="345" t="s">
        <v>251</v>
      </c>
      <c r="N951" s="345"/>
      <c r="O951" s="408" t="s">
        <v>383</v>
      </c>
      <c r="P951" s="345" t="s">
        <v>252</v>
      </c>
      <c r="Q951" s="346"/>
      <c r="R951" s="345"/>
      <c r="S951" s="345"/>
      <c r="T951" s="345"/>
      <c r="U951" s="345"/>
      <c r="V951" s="345"/>
      <c r="W951" s="345"/>
      <c r="X951" s="462"/>
      <c r="Y951" s="154"/>
      <c r="Z951" s="147"/>
      <c r="AA951" s="147"/>
      <c r="AB951" s="148"/>
      <c r="AC951" s="678"/>
      <c r="AD951" s="679"/>
      <c r="AE951" s="679"/>
      <c r="AF951" s="680"/>
      <c r="AI951" s="109" t="str">
        <f>"55:field164:" &amp; IF(I951="■",1,IF(L951="■",2,IF(O951="■",3,0)))</f>
        <v>55:field164:0</v>
      </c>
    </row>
    <row r="952" spans="1:36" s="109" customFormat="1" ht="18.75" customHeight="1" x14ac:dyDescent="0.2">
      <c r="A952" s="139"/>
      <c r="B952" s="123"/>
      <c r="C952" s="248"/>
      <c r="D952" s="249"/>
      <c r="E952" s="128"/>
      <c r="F952" s="142"/>
      <c r="G952" s="128"/>
      <c r="H952" s="405" t="s">
        <v>461</v>
      </c>
      <c r="I952" s="406" t="s">
        <v>383</v>
      </c>
      <c r="J952" s="345" t="s">
        <v>250</v>
      </c>
      <c r="K952" s="345"/>
      <c r="L952" s="408" t="s">
        <v>383</v>
      </c>
      <c r="M952" s="401" t="s">
        <v>267</v>
      </c>
      <c r="N952" s="345"/>
      <c r="O952" s="345"/>
      <c r="P952" s="345"/>
      <c r="Q952" s="362"/>
      <c r="R952" s="362"/>
      <c r="S952" s="362"/>
      <c r="T952" s="362"/>
      <c r="U952" s="362"/>
      <c r="V952" s="362"/>
      <c r="W952" s="362"/>
      <c r="X952" s="363"/>
      <c r="Y952" s="154"/>
      <c r="Z952" s="147"/>
      <c r="AA952" s="147"/>
      <c r="AB952" s="148"/>
      <c r="AC952" s="678"/>
      <c r="AD952" s="679"/>
      <c r="AE952" s="679"/>
      <c r="AF952" s="680"/>
      <c r="AI952" s="109" t="str">
        <f>"55:field226:" &amp; IF(I952="■",1,IF(L952="■",2,0))</f>
        <v>55:field226:0</v>
      </c>
    </row>
    <row r="953" spans="1:36" s="109" customFormat="1" ht="18.75" customHeight="1" x14ac:dyDescent="0.2">
      <c r="A953" s="139"/>
      <c r="B953" s="123"/>
      <c r="C953" s="248"/>
      <c r="D953" s="249"/>
      <c r="E953" s="128"/>
      <c r="F953" s="142"/>
      <c r="G953" s="128"/>
      <c r="H953" s="405" t="s">
        <v>462</v>
      </c>
      <c r="I953" s="406" t="s">
        <v>383</v>
      </c>
      <c r="J953" s="345" t="s">
        <v>250</v>
      </c>
      <c r="K953" s="345"/>
      <c r="L953" s="408" t="s">
        <v>383</v>
      </c>
      <c r="M953" s="401" t="s">
        <v>267</v>
      </c>
      <c r="N953" s="345"/>
      <c r="O953" s="345"/>
      <c r="P953" s="345"/>
      <c r="Q953" s="362"/>
      <c r="R953" s="362"/>
      <c r="S953" s="362"/>
      <c r="T953" s="362"/>
      <c r="U953" s="362"/>
      <c r="V953" s="362"/>
      <c r="W953" s="362"/>
      <c r="X953" s="363"/>
      <c r="Y953" s="154"/>
      <c r="Z953" s="147"/>
      <c r="AA953" s="147"/>
      <c r="AB953" s="148"/>
      <c r="AC953" s="678"/>
      <c r="AD953" s="679"/>
      <c r="AE953" s="679"/>
      <c r="AF953" s="680"/>
      <c r="AI953" s="109" t="str">
        <f>"55:field227:" &amp; IF(I953="■",1,IF(L953="■",2,0))</f>
        <v>55:field227:0</v>
      </c>
    </row>
    <row r="954" spans="1:36" s="109" customFormat="1" ht="18.75" customHeight="1" x14ac:dyDescent="0.2">
      <c r="A954" s="139"/>
      <c r="B954" s="123"/>
      <c r="C954" s="248"/>
      <c r="D954" s="249"/>
      <c r="E954" s="128"/>
      <c r="F954" s="142"/>
      <c r="G954" s="128"/>
      <c r="H954" s="423" t="s">
        <v>442</v>
      </c>
      <c r="I954" s="406" t="s">
        <v>383</v>
      </c>
      <c r="J954" s="345" t="s">
        <v>250</v>
      </c>
      <c r="K954" s="345"/>
      <c r="L954" s="408" t="s">
        <v>383</v>
      </c>
      <c r="M954" s="345" t="s">
        <v>251</v>
      </c>
      <c r="N954" s="345"/>
      <c r="O954" s="408" t="s">
        <v>383</v>
      </c>
      <c r="P954" s="345" t="s">
        <v>252</v>
      </c>
      <c r="Q954" s="346"/>
      <c r="R954" s="346"/>
      <c r="S954" s="346"/>
      <c r="T954" s="346"/>
      <c r="U954" s="424"/>
      <c r="V954" s="424"/>
      <c r="W954" s="424"/>
      <c r="X954" s="425"/>
      <c r="Y954" s="154"/>
      <c r="Z954" s="147"/>
      <c r="AA954" s="147"/>
      <c r="AB954" s="148"/>
      <c r="AC954" s="678"/>
      <c r="AD954" s="679"/>
      <c r="AE954" s="679"/>
      <c r="AF954" s="680"/>
      <c r="AI954" s="109" t="str">
        <f>"55:field225:" &amp; IF(I954="■",1,IF(L954="■",2,IF(O954="■",3,0)))</f>
        <v>55:field225:0</v>
      </c>
    </row>
    <row r="955" spans="1:36" s="109" customFormat="1" ht="18.75" customHeight="1" x14ac:dyDescent="0.2">
      <c r="A955" s="139"/>
      <c r="B955" s="123"/>
      <c r="C955" s="248"/>
      <c r="D955" s="249"/>
      <c r="E955" s="128"/>
      <c r="F955" s="142"/>
      <c r="G955" s="128"/>
      <c r="H955" s="405" t="s">
        <v>118</v>
      </c>
      <c r="I955" s="406" t="s">
        <v>383</v>
      </c>
      <c r="J955" s="345" t="s">
        <v>250</v>
      </c>
      <c r="K955" s="345"/>
      <c r="L955" s="408" t="s">
        <v>383</v>
      </c>
      <c r="M955" s="345" t="s">
        <v>258</v>
      </c>
      <c r="N955" s="345"/>
      <c r="O955" s="408" t="s">
        <v>383</v>
      </c>
      <c r="P955" s="345" t="s">
        <v>259</v>
      </c>
      <c r="Q955" s="430"/>
      <c r="R955" s="408" t="s">
        <v>383</v>
      </c>
      <c r="S955" s="345" t="s">
        <v>283</v>
      </c>
      <c r="T955" s="345"/>
      <c r="U955" s="345"/>
      <c r="V955" s="345"/>
      <c r="W955" s="345"/>
      <c r="X955" s="462"/>
      <c r="Y955" s="154"/>
      <c r="Z955" s="147"/>
      <c r="AA955" s="147"/>
      <c r="AB955" s="148"/>
      <c r="AC955" s="678"/>
      <c r="AD955" s="679"/>
      <c r="AE955" s="679"/>
      <c r="AF955" s="680"/>
      <c r="AI955" s="109" t="str">
        <f>"55:serteikyo_kyoka_code:" &amp; IF(I955="■",1,IF(L955="■",6,IF(O955="■",5,IF(R955="■",7,0))))</f>
        <v>55:serteikyo_kyoka_code:0</v>
      </c>
    </row>
    <row r="956" spans="1:36" s="621" customFormat="1" ht="18.75" customHeight="1" x14ac:dyDescent="0.2">
      <c r="A956" s="139"/>
      <c r="B956" s="670"/>
      <c r="C956" s="248"/>
      <c r="D956" s="249"/>
      <c r="E956" s="128"/>
      <c r="F956" s="142"/>
      <c r="G956" s="143"/>
      <c r="H956" s="713" t="s">
        <v>790</v>
      </c>
      <c r="I956" s="642" t="s">
        <v>383</v>
      </c>
      <c r="J956" s="616" t="s">
        <v>627</v>
      </c>
      <c r="K956" s="616"/>
      <c r="L956" s="615"/>
      <c r="M956" s="644" t="s">
        <v>383</v>
      </c>
      <c r="N956" s="616" t="s">
        <v>791</v>
      </c>
      <c r="O956" s="617"/>
      <c r="P956" s="615"/>
      <c r="Q956" s="644" t="s">
        <v>383</v>
      </c>
      <c r="R956" s="618" t="s">
        <v>802</v>
      </c>
      <c r="S956" s="615"/>
      <c r="T956" s="615"/>
      <c r="U956" s="615"/>
      <c r="V956" s="618"/>
      <c r="W956" s="619"/>
      <c r="X956" s="620"/>
      <c r="Y956" s="154"/>
      <c r="Z956" s="147"/>
      <c r="AA956" s="147"/>
      <c r="AB956" s="148"/>
      <c r="AC956" s="678"/>
      <c r="AD956" s="679"/>
      <c r="AE956" s="679"/>
      <c r="AF956" s="680"/>
    </row>
    <row r="957" spans="1:36" s="621" customFormat="1" ht="18.75" customHeight="1" x14ac:dyDescent="0.2">
      <c r="A957" s="139"/>
      <c r="B957" s="670"/>
      <c r="C957" s="248"/>
      <c r="D957" s="249"/>
      <c r="E957" s="128"/>
      <c r="F957" s="142"/>
      <c r="G957" s="143"/>
      <c r="H957" s="714"/>
      <c r="I957" s="643" t="s">
        <v>383</v>
      </c>
      <c r="J957" s="623" t="s">
        <v>803</v>
      </c>
      <c r="K957" s="623"/>
      <c r="L957" s="622"/>
      <c r="M957" s="211" t="s">
        <v>383</v>
      </c>
      <c r="N957" s="623" t="s">
        <v>804</v>
      </c>
      <c r="O957" s="624"/>
      <c r="P957" s="622"/>
      <c r="Q957" s="211" t="s">
        <v>383</v>
      </c>
      <c r="R957" s="623" t="s">
        <v>795</v>
      </c>
      <c r="S957" s="622"/>
      <c r="T957" s="623"/>
      <c r="U957" s="211" t="s">
        <v>383</v>
      </c>
      <c r="V957" s="623" t="s">
        <v>796</v>
      </c>
      <c r="W957" s="625"/>
      <c r="X957" s="626"/>
      <c r="Y957" s="154"/>
      <c r="Z957" s="147"/>
      <c r="AA957" s="147"/>
      <c r="AB957" s="148"/>
      <c r="AC957" s="678"/>
      <c r="AD957" s="679"/>
      <c r="AE957" s="679"/>
      <c r="AF957" s="680"/>
    </row>
    <row r="958" spans="1:36" s="109" customFormat="1" ht="18.75" customHeight="1" x14ac:dyDescent="0.2">
      <c r="A958" s="129"/>
      <c r="B958" s="116"/>
      <c r="C958" s="272"/>
      <c r="D958" s="273"/>
      <c r="E958" s="121"/>
      <c r="F958" s="132"/>
      <c r="G958" s="121"/>
      <c r="H958" s="705" t="s">
        <v>97</v>
      </c>
      <c r="I958" s="138" t="s">
        <v>383</v>
      </c>
      <c r="J958" s="119" t="s">
        <v>300</v>
      </c>
      <c r="K958" s="135"/>
      <c r="L958" s="244"/>
      <c r="M958" s="134" t="s">
        <v>383</v>
      </c>
      <c r="N958" s="119" t="s">
        <v>328</v>
      </c>
      <c r="O958" s="244"/>
      <c r="P958" s="244"/>
      <c r="Q958" s="134" t="s">
        <v>383</v>
      </c>
      <c r="R958" s="119" t="s">
        <v>329</v>
      </c>
      <c r="S958" s="244"/>
      <c r="T958" s="244"/>
      <c r="U958" s="134" t="s">
        <v>383</v>
      </c>
      <c r="V958" s="119" t="s">
        <v>330</v>
      </c>
      <c r="W958" s="244"/>
      <c r="X958" s="225"/>
      <c r="Y958" s="138" t="s">
        <v>383</v>
      </c>
      <c r="Z958" s="119" t="s">
        <v>249</v>
      </c>
      <c r="AA958" s="119"/>
      <c r="AB958" s="137"/>
      <c r="AC958" s="675"/>
      <c r="AD958" s="676"/>
      <c r="AE958" s="676"/>
      <c r="AF958" s="677"/>
      <c r="AG958" s="109" t="str">
        <f>"ser_code = '" &amp; IF(A968="■",55,"") &amp; "'"</f>
        <v>ser_code = ''</v>
      </c>
      <c r="AH958" s="109" t="str">
        <f>"55:jininkbn_code:" &amp; IF(F968="■",2,0)</f>
        <v>55:jininkbn_code:0</v>
      </c>
      <c r="AI958" s="109" t="str">
        <f>"55:yakan_kinmu_code:" &amp; IF(I958="■",1,IF(M958="■",2,IF(Q958="■",3,IF(U958="■",AJ7631,IF(I959="■",5,IF(M959="■",6,0))))))</f>
        <v>55:yakan_kinmu_code:0</v>
      </c>
      <c r="AJ958" s="109" t="str">
        <f>"55:field203:" &amp; IF(Y958="■",1,IF(Y959="■",2,0))</f>
        <v>55:field203:0</v>
      </c>
    </row>
    <row r="959" spans="1:36" s="109" customFormat="1" ht="18.75" customHeight="1" x14ac:dyDescent="0.2">
      <c r="A959" s="139"/>
      <c r="B959" s="123"/>
      <c r="C959" s="248"/>
      <c r="D959" s="249"/>
      <c r="E959" s="128"/>
      <c r="F959" s="142"/>
      <c r="G959" s="128"/>
      <c r="H959" s="742"/>
      <c r="I959" s="150" t="s">
        <v>383</v>
      </c>
      <c r="J959" s="169" t="s">
        <v>331</v>
      </c>
      <c r="K959" s="179"/>
      <c r="L959" s="151"/>
      <c r="M959" s="203" t="s">
        <v>383</v>
      </c>
      <c r="N959" s="169" t="s">
        <v>301</v>
      </c>
      <c r="O959" s="151"/>
      <c r="P959" s="151"/>
      <c r="Q959" s="151"/>
      <c r="R959" s="151"/>
      <c r="S959" s="151"/>
      <c r="T959" s="151"/>
      <c r="U959" s="151"/>
      <c r="V959" s="151"/>
      <c r="W959" s="151"/>
      <c r="X959" s="238"/>
      <c r="Y959" s="125" t="s">
        <v>383</v>
      </c>
      <c r="Z959" s="126" t="s">
        <v>255</v>
      </c>
      <c r="AA959" s="147"/>
      <c r="AB959" s="148"/>
      <c r="AC959" s="678"/>
      <c r="AD959" s="679"/>
      <c r="AE959" s="679"/>
      <c r="AF959" s="680"/>
      <c r="AG959" s="109" t="str">
        <f>"55:sisetukbn_code:" &amp; IF(D968="■",3,0)</f>
        <v>55:sisetukbn_code:0</v>
      </c>
    </row>
    <row r="960" spans="1:36" s="109" customFormat="1" ht="18.75" customHeight="1" x14ac:dyDescent="0.2">
      <c r="A960" s="139"/>
      <c r="B960" s="123"/>
      <c r="C960" s="248"/>
      <c r="D960" s="249"/>
      <c r="E960" s="128"/>
      <c r="F960" s="142"/>
      <c r="G960" s="128"/>
      <c r="H960" s="741" t="s">
        <v>93</v>
      </c>
      <c r="I960" s="175" t="s">
        <v>383</v>
      </c>
      <c r="J960" s="168" t="s">
        <v>250</v>
      </c>
      <c r="K960" s="168"/>
      <c r="L960" s="172"/>
      <c r="M960" s="206" t="s">
        <v>383</v>
      </c>
      <c r="N960" s="168" t="s">
        <v>289</v>
      </c>
      <c r="O960" s="168"/>
      <c r="P960" s="172"/>
      <c r="Q960" s="206" t="s">
        <v>383</v>
      </c>
      <c r="R960" s="172" t="s">
        <v>372</v>
      </c>
      <c r="S960" s="172"/>
      <c r="T960" s="172"/>
      <c r="U960" s="206" t="s">
        <v>383</v>
      </c>
      <c r="V960" s="172" t="s">
        <v>373</v>
      </c>
      <c r="W960" s="251"/>
      <c r="X960" s="252"/>
      <c r="Y960" s="154"/>
      <c r="Z960" s="147"/>
      <c r="AA960" s="147"/>
      <c r="AB960" s="148"/>
      <c r="AC960" s="678"/>
      <c r="AD960" s="679"/>
      <c r="AE960" s="679"/>
      <c r="AF960" s="680"/>
      <c r="AI960" s="109" t="str">
        <f>"55:"&amp;IF(AND(I960="□",M960="□",Q960="□",U960="□",I961="□",M961="□"),"ketu_doctor_code:0",IF(I960="■","ketu_doctor_code:1:field197:1:ketu_kangos_code:1:ketu_kshoku_code:1:ketu_ksiensou_code:1",IF(M960="■","ketu_doctor_code:2","ketu_doctor_code:1")
&amp;IF(Q960="■",":field197:2",":field197:1")
&amp;IF(U960="■",":ketu_kangos_code:2",":ketu_kangos_code:1")
&amp;IF(I961="■",":ketu_kshoku_code:2",":ketu_kshoku_code:1")
&amp;IF(M961="■",":ketu_ksiensou_code:2",":ketu_ksiensou_code:1")))</f>
        <v>55:ketu_doctor_code:0</v>
      </c>
    </row>
    <row r="961" spans="1:35" s="109" customFormat="1" ht="18.75" customHeight="1" x14ac:dyDescent="0.2">
      <c r="A961" s="139"/>
      <c r="B961" s="123"/>
      <c r="C961" s="248"/>
      <c r="D961" s="249"/>
      <c r="E961" s="128"/>
      <c r="F961" s="142"/>
      <c r="G961" s="128"/>
      <c r="H961" s="742"/>
      <c r="I961" s="150" t="s">
        <v>383</v>
      </c>
      <c r="J961" s="151" t="s">
        <v>374</v>
      </c>
      <c r="K961" s="169"/>
      <c r="L961" s="151"/>
      <c r="M961" s="203" t="s">
        <v>383</v>
      </c>
      <c r="N961" s="169" t="s">
        <v>422</v>
      </c>
      <c r="O961" s="169"/>
      <c r="P961" s="151"/>
      <c r="Q961" s="151"/>
      <c r="R961" s="151"/>
      <c r="S961" s="151"/>
      <c r="T961" s="151"/>
      <c r="U961" s="151"/>
      <c r="V961" s="151"/>
      <c r="W961" s="152"/>
      <c r="X961" s="153"/>
      <c r="Y961" s="154"/>
      <c r="Z961" s="147"/>
      <c r="AA961" s="147"/>
      <c r="AB961" s="148"/>
      <c r="AC961" s="678"/>
      <c r="AD961" s="679"/>
      <c r="AE961" s="679"/>
      <c r="AF961" s="680"/>
    </row>
    <row r="962" spans="1:35" s="109" customFormat="1" ht="18.75" customHeight="1" x14ac:dyDescent="0.2">
      <c r="A962" s="139"/>
      <c r="B962" s="123"/>
      <c r="C962" s="248"/>
      <c r="D962" s="249"/>
      <c r="E962" s="128"/>
      <c r="F962" s="142"/>
      <c r="G962" s="128"/>
      <c r="H962" s="242" t="s">
        <v>107</v>
      </c>
      <c r="I962" s="156" t="s">
        <v>383</v>
      </c>
      <c r="J962" s="157" t="s">
        <v>395</v>
      </c>
      <c r="K962" s="158"/>
      <c r="L962" s="159"/>
      <c r="M962" s="160" t="s">
        <v>383</v>
      </c>
      <c r="N962" s="157" t="s">
        <v>396</v>
      </c>
      <c r="O962" s="162"/>
      <c r="P962" s="158"/>
      <c r="Q962" s="158"/>
      <c r="R962" s="158"/>
      <c r="S962" s="158"/>
      <c r="T962" s="158"/>
      <c r="U962" s="158"/>
      <c r="V962" s="158"/>
      <c r="W962" s="158"/>
      <c r="X962" s="166"/>
      <c r="Y962" s="154"/>
      <c r="Z962" s="147"/>
      <c r="AA962" s="147"/>
      <c r="AB962" s="148"/>
      <c r="AC962" s="678"/>
      <c r="AD962" s="679"/>
      <c r="AE962" s="679"/>
      <c r="AF962" s="680"/>
      <c r="AI962" s="109" t="str">
        <f>"55:sintaikousoku_code:" &amp; IF(I962="■",1,IF(M962="■",2,0))</f>
        <v>55:sintaikousoku_code:0</v>
      </c>
    </row>
    <row r="963" spans="1:35" s="109" customFormat="1" ht="18.75" customHeight="1" x14ac:dyDescent="0.2">
      <c r="A963" s="139"/>
      <c r="B963" s="123"/>
      <c r="C963" s="248"/>
      <c r="D963" s="249"/>
      <c r="E963" s="128"/>
      <c r="F963" s="142"/>
      <c r="G963" s="128"/>
      <c r="H963" s="242" t="s">
        <v>200</v>
      </c>
      <c r="I963" s="156" t="s">
        <v>383</v>
      </c>
      <c r="J963" s="157" t="s">
        <v>395</v>
      </c>
      <c r="K963" s="158"/>
      <c r="L963" s="159"/>
      <c r="M963" s="160" t="s">
        <v>383</v>
      </c>
      <c r="N963" s="157" t="s">
        <v>396</v>
      </c>
      <c r="O963" s="162"/>
      <c r="P963" s="158"/>
      <c r="Q963" s="158"/>
      <c r="R963" s="158"/>
      <c r="S963" s="158"/>
      <c r="T963" s="158"/>
      <c r="U963" s="158"/>
      <c r="V963" s="158"/>
      <c r="W963" s="158"/>
      <c r="X963" s="166"/>
      <c r="Y963" s="154"/>
      <c r="Z963" s="147"/>
      <c r="AA963" s="147"/>
      <c r="AB963" s="148"/>
      <c r="AC963" s="678"/>
      <c r="AD963" s="679"/>
      <c r="AE963" s="679"/>
      <c r="AF963" s="680"/>
      <c r="AI963" s="109" t="str">
        <f>"55:field208:" &amp; IF(I963="■",1,IF(M963="■",2,0))</f>
        <v>55:field208:0</v>
      </c>
    </row>
    <row r="964" spans="1:35" s="109" customFormat="1" ht="19.5" customHeight="1" x14ac:dyDescent="0.2">
      <c r="A964" s="139"/>
      <c r="B964" s="123"/>
      <c r="C964" s="140"/>
      <c r="D964" s="141"/>
      <c r="E964" s="128"/>
      <c r="F964" s="142"/>
      <c r="G964" s="143"/>
      <c r="H964" s="155" t="s">
        <v>430</v>
      </c>
      <c r="I964" s="156" t="s">
        <v>383</v>
      </c>
      <c r="J964" s="157" t="s">
        <v>395</v>
      </c>
      <c r="K964" s="158"/>
      <c r="L964" s="159"/>
      <c r="M964" s="160" t="s">
        <v>383</v>
      </c>
      <c r="N964" s="157" t="s">
        <v>431</v>
      </c>
      <c r="O964" s="161"/>
      <c r="P964" s="157"/>
      <c r="Q964" s="162"/>
      <c r="R964" s="162"/>
      <c r="S964" s="162"/>
      <c r="T964" s="162"/>
      <c r="U964" s="162"/>
      <c r="V964" s="162"/>
      <c r="W964" s="162"/>
      <c r="X964" s="163"/>
      <c r="Y964" s="147"/>
      <c r="Z964" s="147"/>
      <c r="AA964" s="147"/>
      <c r="AB964" s="148"/>
      <c r="AC964" s="678"/>
      <c r="AD964" s="679"/>
      <c r="AE964" s="679"/>
      <c r="AF964" s="680"/>
      <c r="AI964" s="109" t="str">
        <f>"55:field223:" &amp; IF(I964="■",1,IF(M964="■",2,0))</f>
        <v>55:field223:0</v>
      </c>
    </row>
    <row r="965" spans="1:35" s="109" customFormat="1" ht="19.5" customHeight="1" x14ac:dyDescent="0.2">
      <c r="A965" s="139"/>
      <c r="B965" s="123"/>
      <c r="C965" s="140"/>
      <c r="D965" s="141"/>
      <c r="E965" s="128"/>
      <c r="F965" s="142"/>
      <c r="G965" s="143"/>
      <c r="H965" s="155" t="s">
        <v>448</v>
      </c>
      <c r="I965" s="156" t="s">
        <v>383</v>
      </c>
      <c r="J965" s="157" t="s">
        <v>395</v>
      </c>
      <c r="K965" s="158"/>
      <c r="L965" s="159"/>
      <c r="M965" s="160" t="s">
        <v>383</v>
      </c>
      <c r="N965" s="157" t="s">
        <v>431</v>
      </c>
      <c r="O965" s="161"/>
      <c r="P965" s="157"/>
      <c r="Q965" s="162"/>
      <c r="R965" s="162"/>
      <c r="S965" s="162"/>
      <c r="T965" s="162"/>
      <c r="U965" s="162"/>
      <c r="V965" s="162"/>
      <c r="W965" s="162"/>
      <c r="X965" s="163"/>
      <c r="Y965" s="147"/>
      <c r="Z965" s="147"/>
      <c r="AA965" s="147"/>
      <c r="AB965" s="148"/>
      <c r="AC965" s="678"/>
      <c r="AD965" s="679"/>
      <c r="AE965" s="679"/>
      <c r="AF965" s="680"/>
      <c r="AI965" s="109" t="str">
        <f>"55:field232:" &amp; IF(I965="■",1,IF(M965="■",2,0))</f>
        <v>55:field232:0</v>
      </c>
    </row>
    <row r="966" spans="1:35" s="109" customFormat="1" ht="18.75" customHeight="1" x14ac:dyDescent="0.2">
      <c r="A966" s="139"/>
      <c r="B966" s="123"/>
      <c r="C966" s="248"/>
      <c r="D966" s="249"/>
      <c r="E966" s="128"/>
      <c r="F966" s="142"/>
      <c r="G966" s="128"/>
      <c r="H966" s="694" t="s">
        <v>202</v>
      </c>
      <c r="I966" s="709" t="s">
        <v>383</v>
      </c>
      <c r="J966" s="708" t="s">
        <v>250</v>
      </c>
      <c r="K966" s="708"/>
      <c r="L966" s="717" t="s">
        <v>383</v>
      </c>
      <c r="M966" s="708" t="s">
        <v>267</v>
      </c>
      <c r="N966" s="708"/>
      <c r="O966" s="172"/>
      <c r="P966" s="172"/>
      <c r="Q966" s="172"/>
      <c r="R966" s="172"/>
      <c r="S966" s="172"/>
      <c r="T966" s="172"/>
      <c r="U966" s="172"/>
      <c r="V966" s="172"/>
      <c r="W966" s="172"/>
      <c r="X966" s="209"/>
      <c r="Y966" s="154"/>
      <c r="Z966" s="147"/>
      <c r="AA966" s="147"/>
      <c r="AB966" s="148"/>
      <c r="AC966" s="678"/>
      <c r="AD966" s="679"/>
      <c r="AE966" s="679"/>
      <c r="AF966" s="680"/>
      <c r="AI966" s="109" t="str">
        <f>"55:field206:" &amp; IF(I966="■",1,IF(L966="■",2,0))</f>
        <v>55:field206:0</v>
      </c>
    </row>
    <row r="967" spans="1:35" s="109" customFormat="1" ht="18.75" customHeight="1" x14ac:dyDescent="0.2">
      <c r="A967" s="139"/>
      <c r="B967" s="123"/>
      <c r="C967" s="248"/>
      <c r="D967" s="249"/>
      <c r="E967" s="128"/>
      <c r="F967" s="142"/>
      <c r="G967" s="128"/>
      <c r="H967" s="693"/>
      <c r="I967" s="710"/>
      <c r="J967" s="698"/>
      <c r="K967" s="698"/>
      <c r="L967" s="718"/>
      <c r="M967" s="698"/>
      <c r="N967" s="698"/>
      <c r="O967" s="151"/>
      <c r="P967" s="151"/>
      <c r="Q967" s="151"/>
      <c r="R967" s="151"/>
      <c r="S967" s="151"/>
      <c r="T967" s="151"/>
      <c r="U967" s="151"/>
      <c r="V967" s="151"/>
      <c r="W967" s="151"/>
      <c r="X967" s="238"/>
      <c r="Y967" s="154"/>
      <c r="Z967" s="147"/>
      <c r="AA967" s="147"/>
      <c r="AB967" s="148"/>
      <c r="AC967" s="678"/>
      <c r="AD967" s="679"/>
      <c r="AE967" s="679"/>
      <c r="AF967" s="680"/>
    </row>
    <row r="968" spans="1:35" s="109" customFormat="1" ht="18.75" customHeight="1" x14ac:dyDescent="0.2">
      <c r="A968" s="125" t="s">
        <v>383</v>
      </c>
      <c r="B968" s="123">
        <v>55</v>
      </c>
      <c r="C968" s="248" t="s">
        <v>424</v>
      </c>
      <c r="D968" s="125" t="s">
        <v>383</v>
      </c>
      <c r="E968" s="128" t="s">
        <v>380</v>
      </c>
      <c r="F968" s="125" t="s">
        <v>383</v>
      </c>
      <c r="G968" s="128" t="s">
        <v>365</v>
      </c>
      <c r="H968" s="242" t="s">
        <v>164</v>
      </c>
      <c r="I968" s="156" t="s">
        <v>383</v>
      </c>
      <c r="J968" s="157" t="s">
        <v>420</v>
      </c>
      <c r="K968" s="158"/>
      <c r="L968" s="159"/>
      <c r="M968" s="160" t="s">
        <v>383</v>
      </c>
      <c r="N968" s="157" t="s">
        <v>332</v>
      </c>
      <c r="O968" s="162"/>
      <c r="P968" s="158"/>
      <c r="Q968" s="158"/>
      <c r="R968" s="158"/>
      <c r="S968" s="158"/>
      <c r="T968" s="158"/>
      <c r="U968" s="158"/>
      <c r="V968" s="158"/>
      <c r="W968" s="158"/>
      <c r="X968" s="166"/>
      <c r="Y968" s="154"/>
      <c r="Z968" s="147"/>
      <c r="AA968" s="147"/>
      <c r="AB968" s="148"/>
      <c r="AC968" s="678"/>
      <c r="AD968" s="679"/>
      <c r="AE968" s="679"/>
      <c r="AF968" s="680"/>
      <c r="AI968" s="109" t="str">
        <f>"55:field190:" &amp; IF(I968="■",1,IF(M968="■",2,0))</f>
        <v>55:field190:0</v>
      </c>
    </row>
    <row r="969" spans="1:35" s="109" customFormat="1" ht="18.75" customHeight="1" x14ac:dyDescent="0.2">
      <c r="A969" s="139"/>
      <c r="B969" s="123"/>
      <c r="C969" s="248"/>
      <c r="D969" s="249"/>
      <c r="E969" s="128"/>
      <c r="F969" s="101"/>
      <c r="G969" s="100"/>
      <c r="H969" s="242" t="s">
        <v>165</v>
      </c>
      <c r="I969" s="156" t="s">
        <v>383</v>
      </c>
      <c r="J969" s="157" t="s">
        <v>420</v>
      </c>
      <c r="K969" s="158"/>
      <c r="L969" s="159"/>
      <c r="M969" s="160" t="s">
        <v>383</v>
      </c>
      <c r="N969" s="157" t="s">
        <v>332</v>
      </c>
      <c r="O969" s="162"/>
      <c r="P969" s="158"/>
      <c r="Q969" s="158"/>
      <c r="R969" s="158"/>
      <c r="S969" s="158"/>
      <c r="T969" s="158"/>
      <c r="U969" s="158"/>
      <c r="V969" s="158"/>
      <c r="W969" s="158"/>
      <c r="X969" s="166"/>
      <c r="Y969" s="154"/>
      <c r="Z969" s="147"/>
      <c r="AA969" s="147"/>
      <c r="AB969" s="148"/>
      <c r="AC969" s="678"/>
      <c r="AD969" s="679"/>
      <c r="AE969" s="679"/>
      <c r="AF969" s="680"/>
      <c r="AI969" s="109" t="str">
        <f>"55:field191:" &amp; IF(I969="■",1,IF(M969="■",2,0))</f>
        <v>55:field191:0</v>
      </c>
    </row>
    <row r="970" spans="1:35" s="1" customFormat="1" ht="19.5" customHeight="1" x14ac:dyDescent="0.2">
      <c r="A970" s="88"/>
      <c r="B970" s="91"/>
      <c r="C970" s="87"/>
      <c r="D970" s="89"/>
      <c r="E970" s="90"/>
      <c r="F970" s="101"/>
      <c r="G970" s="100"/>
      <c r="H970" s="348" t="s">
        <v>638</v>
      </c>
      <c r="I970" s="406" t="s">
        <v>383</v>
      </c>
      <c r="J970" s="381" t="s">
        <v>624</v>
      </c>
      <c r="K970" s="472"/>
      <c r="L970" s="382"/>
      <c r="M970" s="408" t="s">
        <v>383</v>
      </c>
      <c r="N970" s="381" t="s">
        <v>625</v>
      </c>
      <c r="O970" s="473"/>
      <c r="P970" s="381"/>
      <c r="Q970" s="474"/>
      <c r="R970" s="474"/>
      <c r="S970" s="474"/>
      <c r="T970" s="474"/>
      <c r="U970" s="474"/>
      <c r="V970" s="474"/>
      <c r="W970" s="474"/>
      <c r="X970" s="475"/>
      <c r="Y970" s="85"/>
      <c r="Z970" s="2"/>
      <c r="AA970" s="92"/>
      <c r="AB970" s="102"/>
      <c r="AC970" s="678"/>
      <c r="AD970" s="679"/>
      <c r="AE970" s="679"/>
      <c r="AF970" s="680"/>
      <c r="AI970" s="109" t="str">
        <f>"55:field242:" &amp; IF(I970="■",1,IF(M970="■",2,0))</f>
        <v>55:field242:0</v>
      </c>
    </row>
    <row r="971" spans="1:35" s="109" customFormat="1" ht="18.75" customHeight="1" x14ac:dyDescent="0.2">
      <c r="A971" s="139"/>
      <c r="B971" s="123"/>
      <c r="C971" s="248"/>
      <c r="D971" s="249"/>
      <c r="E971" s="128"/>
      <c r="F971" s="249"/>
      <c r="G971" s="128"/>
      <c r="H971" s="242" t="s">
        <v>122</v>
      </c>
      <c r="I971" s="150" t="s">
        <v>383</v>
      </c>
      <c r="J971" s="169" t="s">
        <v>250</v>
      </c>
      <c r="K971" s="179"/>
      <c r="L971" s="203" t="s">
        <v>383</v>
      </c>
      <c r="M971" s="169" t="s">
        <v>267</v>
      </c>
      <c r="N971" s="207"/>
      <c r="O971" s="158"/>
      <c r="P971" s="158"/>
      <c r="Q971" s="158"/>
      <c r="R971" s="158"/>
      <c r="S971" s="158"/>
      <c r="T971" s="158"/>
      <c r="U971" s="158"/>
      <c r="V971" s="158"/>
      <c r="W971" s="158"/>
      <c r="X971" s="166"/>
      <c r="Y971" s="154"/>
      <c r="Z971" s="147"/>
      <c r="AA971" s="147"/>
      <c r="AB971" s="148"/>
      <c r="AC971" s="678"/>
      <c r="AD971" s="679"/>
      <c r="AE971" s="679"/>
      <c r="AF971" s="680"/>
      <c r="AI971" s="109" t="str">
        <f>"55:jyakuninti_uke_code:" &amp; IF(I971="■",1,IF(L971="■",2,0))</f>
        <v>55:jyakuninti_uke_code:0</v>
      </c>
    </row>
    <row r="972" spans="1:35" s="109" customFormat="1" ht="18.75" customHeight="1" x14ac:dyDescent="0.2">
      <c r="A972" s="139"/>
      <c r="B972" s="123"/>
      <c r="C972" s="248"/>
      <c r="D972" s="249"/>
      <c r="E972" s="128"/>
      <c r="F972" s="249"/>
      <c r="G972" s="128"/>
      <c r="H972" s="242" t="s">
        <v>199</v>
      </c>
      <c r="I972" s="150" t="s">
        <v>383</v>
      </c>
      <c r="J972" s="169" t="s">
        <v>250</v>
      </c>
      <c r="K972" s="179"/>
      <c r="L972" s="203" t="s">
        <v>383</v>
      </c>
      <c r="M972" s="169" t="s">
        <v>267</v>
      </c>
      <c r="N972" s="207"/>
      <c r="O972" s="158"/>
      <c r="P972" s="158"/>
      <c r="Q972" s="158"/>
      <c r="R972" s="158"/>
      <c r="S972" s="158"/>
      <c r="T972" s="158"/>
      <c r="U972" s="158"/>
      <c r="V972" s="158"/>
      <c r="W972" s="158"/>
      <c r="X972" s="166"/>
      <c r="Y972" s="154"/>
      <c r="Z972" s="147"/>
      <c r="AA972" s="147"/>
      <c r="AB972" s="148"/>
      <c r="AC972" s="678"/>
      <c r="AD972" s="679"/>
      <c r="AE972" s="679"/>
      <c r="AF972" s="680"/>
      <c r="AI972" s="109" t="str">
        <f>"55:field207:" &amp; IF(I972="■",1,IF(L972="■",2,0))</f>
        <v>55:field207:0</v>
      </c>
    </row>
    <row r="973" spans="1:35" s="109" customFormat="1" ht="18.75" customHeight="1" x14ac:dyDescent="0.2">
      <c r="A973" s="139"/>
      <c r="B973" s="123"/>
      <c r="C973" s="248"/>
      <c r="D973" s="249"/>
      <c r="E973" s="128"/>
      <c r="F973" s="142"/>
      <c r="G973" s="128"/>
      <c r="H973" s="242" t="s">
        <v>112</v>
      </c>
      <c r="I973" s="150" t="s">
        <v>421</v>
      </c>
      <c r="J973" s="169" t="s">
        <v>250</v>
      </c>
      <c r="K973" s="179"/>
      <c r="L973" s="203" t="s">
        <v>383</v>
      </c>
      <c r="M973" s="169" t="s">
        <v>267</v>
      </c>
      <c r="N973" s="207"/>
      <c r="O973" s="158"/>
      <c r="P973" s="158"/>
      <c r="Q973" s="158"/>
      <c r="R973" s="158"/>
      <c r="S973" s="158"/>
      <c r="T973" s="158"/>
      <c r="U973" s="158"/>
      <c r="V973" s="158"/>
      <c r="W973" s="158"/>
      <c r="X973" s="166"/>
      <c r="Y973" s="154"/>
      <c r="Z973" s="147"/>
      <c r="AA973" s="147"/>
      <c r="AB973" s="148"/>
      <c r="AC973" s="678"/>
      <c r="AD973" s="679"/>
      <c r="AE973" s="679"/>
      <c r="AF973" s="680"/>
      <c r="AI973" s="109" t="str">
        <f>"55:ryouyoushoku_code:" &amp; IF(I973="■",1,IF(L973="■",2,0))</f>
        <v>55:ryouyoushoku_code:0</v>
      </c>
    </row>
    <row r="974" spans="1:35" s="109" customFormat="1" ht="18.75" customHeight="1" x14ac:dyDescent="0.2">
      <c r="A974" s="139"/>
      <c r="B974" s="123"/>
      <c r="C974" s="248"/>
      <c r="D974" s="249"/>
      <c r="E974" s="128"/>
      <c r="F974" s="142"/>
      <c r="G974" s="128"/>
      <c r="H974" s="242" t="s">
        <v>116</v>
      </c>
      <c r="I974" s="156" t="s">
        <v>383</v>
      </c>
      <c r="J974" s="157" t="s">
        <v>250</v>
      </c>
      <c r="K974" s="157"/>
      <c r="L974" s="160" t="s">
        <v>383</v>
      </c>
      <c r="M974" s="157" t="s">
        <v>251</v>
      </c>
      <c r="N974" s="157"/>
      <c r="O974" s="160" t="s">
        <v>383</v>
      </c>
      <c r="P974" s="157" t="s">
        <v>252</v>
      </c>
      <c r="Q974" s="162"/>
      <c r="R974" s="158"/>
      <c r="S974" s="158"/>
      <c r="T974" s="158"/>
      <c r="U974" s="158"/>
      <c r="V974" s="158"/>
      <c r="W974" s="158"/>
      <c r="X974" s="166"/>
      <c r="Y974" s="154"/>
      <c r="Z974" s="147"/>
      <c r="AA974" s="147"/>
      <c r="AB974" s="148"/>
      <c r="AC974" s="678"/>
      <c r="AD974" s="679"/>
      <c r="AE974" s="679"/>
      <c r="AF974" s="680"/>
      <c r="AI974" s="109" t="str">
        <f>"55:ninti_senmoncare_code:" &amp; IF(I974="■",1,IF(O974="■",3,IF(L974="■",2,0)))</f>
        <v>55:ninti_senmoncare_code:0</v>
      </c>
    </row>
    <row r="975" spans="1:35" s="109" customFormat="1" ht="18.75" customHeight="1" x14ac:dyDescent="0.2">
      <c r="A975" s="139"/>
      <c r="B975" s="123"/>
      <c r="C975" s="248"/>
      <c r="D975" s="249"/>
      <c r="E975" s="128"/>
      <c r="F975" s="142"/>
      <c r="G975" s="128"/>
      <c r="H975" s="242" t="s">
        <v>447</v>
      </c>
      <c r="I975" s="156" t="s">
        <v>383</v>
      </c>
      <c r="J975" s="157" t="s">
        <v>250</v>
      </c>
      <c r="K975" s="157"/>
      <c r="L975" s="160" t="s">
        <v>383</v>
      </c>
      <c r="M975" s="157" t="s">
        <v>251</v>
      </c>
      <c r="N975" s="157"/>
      <c r="O975" s="160" t="s">
        <v>383</v>
      </c>
      <c r="P975" s="157" t="s">
        <v>252</v>
      </c>
      <c r="Q975" s="158"/>
      <c r="R975" s="158"/>
      <c r="S975" s="158"/>
      <c r="T975" s="158"/>
      <c r="U975" s="158"/>
      <c r="V975" s="158"/>
      <c r="W975" s="158"/>
      <c r="X975" s="166"/>
      <c r="Y975" s="154"/>
      <c r="Z975" s="147"/>
      <c r="AA975" s="147"/>
      <c r="AB975" s="148"/>
      <c r="AC975" s="678"/>
      <c r="AD975" s="679"/>
      <c r="AE975" s="679"/>
      <c r="AF975" s="680"/>
      <c r="AI975" s="109" t="str">
        <f>"55:field228:" &amp; IF(I975="■",1,IF(L975="■",2,IF(O975="■",3,0)))</f>
        <v>55:field228:0</v>
      </c>
    </row>
    <row r="976" spans="1:35" s="109" customFormat="1" ht="18.75" customHeight="1" x14ac:dyDescent="0.2">
      <c r="A976" s="139"/>
      <c r="B976" s="123"/>
      <c r="C976" s="248"/>
      <c r="D976" s="249"/>
      <c r="E976" s="128"/>
      <c r="F976" s="142"/>
      <c r="G976" s="128"/>
      <c r="H976" s="242" t="s">
        <v>221</v>
      </c>
      <c r="I976" s="156" t="s">
        <v>383</v>
      </c>
      <c r="J976" s="157" t="s">
        <v>250</v>
      </c>
      <c r="K976" s="157"/>
      <c r="L976" s="160" t="s">
        <v>383</v>
      </c>
      <c r="M976" s="157" t="s">
        <v>251</v>
      </c>
      <c r="N976" s="157"/>
      <c r="O976" s="160" t="s">
        <v>383</v>
      </c>
      <c r="P976" s="157" t="s">
        <v>252</v>
      </c>
      <c r="Q976" s="162"/>
      <c r="R976" s="157"/>
      <c r="S976" s="157"/>
      <c r="T976" s="157"/>
      <c r="U976" s="157"/>
      <c r="V976" s="157"/>
      <c r="W976" s="157"/>
      <c r="X976" s="165"/>
      <c r="Y976" s="154"/>
      <c r="Z976" s="147"/>
      <c r="AA976" s="147"/>
      <c r="AB976" s="148"/>
      <c r="AC976" s="678"/>
      <c r="AD976" s="679"/>
      <c r="AE976" s="679"/>
      <c r="AF976" s="680"/>
      <c r="AI976" s="109" t="str">
        <f>"55:field164:" &amp; IF(I976="■",1,IF(L976="■",2,IF(O976="■",3,0)))</f>
        <v>55:field164:0</v>
      </c>
    </row>
    <row r="977" spans="1:36" s="109" customFormat="1" ht="18.75" customHeight="1" x14ac:dyDescent="0.2">
      <c r="A977" s="139"/>
      <c r="B977" s="123"/>
      <c r="C977" s="248"/>
      <c r="D977" s="249"/>
      <c r="E977" s="128"/>
      <c r="F977" s="142"/>
      <c r="G977" s="128"/>
      <c r="H977" s="242" t="s">
        <v>461</v>
      </c>
      <c r="I977" s="156" t="s">
        <v>383</v>
      </c>
      <c r="J977" s="157" t="s">
        <v>250</v>
      </c>
      <c r="K977" s="157"/>
      <c r="L977" s="160" t="s">
        <v>383</v>
      </c>
      <c r="M977" s="169" t="s">
        <v>267</v>
      </c>
      <c r="N977" s="157"/>
      <c r="O977" s="157"/>
      <c r="P977" s="157"/>
      <c r="Q977" s="158"/>
      <c r="R977" s="158"/>
      <c r="S977" s="158"/>
      <c r="T977" s="158"/>
      <c r="U977" s="158"/>
      <c r="V977" s="158"/>
      <c r="W977" s="158"/>
      <c r="X977" s="166"/>
      <c r="Y977" s="154"/>
      <c r="Z977" s="147"/>
      <c r="AA977" s="147"/>
      <c r="AB977" s="148"/>
      <c r="AC977" s="678"/>
      <c r="AD977" s="679"/>
      <c r="AE977" s="679"/>
      <c r="AF977" s="680"/>
      <c r="AI977" s="109" t="str">
        <f>"55:field226:" &amp; IF(I977="■",1,IF(L977="■",2,0))</f>
        <v>55:field226:0</v>
      </c>
    </row>
    <row r="978" spans="1:36" s="109" customFormat="1" ht="18.75" customHeight="1" x14ac:dyDescent="0.2">
      <c r="A978" s="139"/>
      <c r="B978" s="123"/>
      <c r="C978" s="248"/>
      <c r="D978" s="249"/>
      <c r="E978" s="128"/>
      <c r="F978" s="142"/>
      <c r="G978" s="128"/>
      <c r="H978" s="242" t="s">
        <v>462</v>
      </c>
      <c r="I978" s="156" t="s">
        <v>383</v>
      </c>
      <c r="J978" s="157" t="s">
        <v>250</v>
      </c>
      <c r="K978" s="157"/>
      <c r="L978" s="160" t="s">
        <v>383</v>
      </c>
      <c r="M978" s="169" t="s">
        <v>267</v>
      </c>
      <c r="N978" s="157"/>
      <c r="O978" s="157"/>
      <c r="P978" s="157"/>
      <c r="Q978" s="158"/>
      <c r="R978" s="158"/>
      <c r="S978" s="158"/>
      <c r="T978" s="158"/>
      <c r="U978" s="158"/>
      <c r="V978" s="158"/>
      <c r="W978" s="158"/>
      <c r="X978" s="166"/>
      <c r="Y978" s="154"/>
      <c r="Z978" s="147"/>
      <c r="AA978" s="147"/>
      <c r="AB978" s="148"/>
      <c r="AC978" s="678"/>
      <c r="AD978" s="679"/>
      <c r="AE978" s="679"/>
      <c r="AF978" s="680"/>
      <c r="AI978" s="109" t="str">
        <f>"55:field227:" &amp; IF(I978="■",1,IF(L978="■",2,0))</f>
        <v>55:field227:0</v>
      </c>
    </row>
    <row r="979" spans="1:36" s="109" customFormat="1" ht="18.75" customHeight="1" x14ac:dyDescent="0.2">
      <c r="A979" s="139"/>
      <c r="B979" s="123"/>
      <c r="C979" s="248"/>
      <c r="D979" s="249"/>
      <c r="E979" s="128"/>
      <c r="F979" s="142"/>
      <c r="G979" s="128"/>
      <c r="H979" s="250" t="s">
        <v>442</v>
      </c>
      <c r="I979" s="156" t="s">
        <v>383</v>
      </c>
      <c r="J979" s="157" t="s">
        <v>250</v>
      </c>
      <c r="K979" s="157"/>
      <c r="L979" s="160" t="s">
        <v>383</v>
      </c>
      <c r="M979" s="157" t="s">
        <v>251</v>
      </c>
      <c r="N979" s="157"/>
      <c r="O979" s="160" t="s">
        <v>383</v>
      </c>
      <c r="P979" s="157" t="s">
        <v>252</v>
      </c>
      <c r="Q979" s="162"/>
      <c r="R979" s="162"/>
      <c r="S979" s="162"/>
      <c r="T979" s="162"/>
      <c r="U979" s="251"/>
      <c r="V979" s="251"/>
      <c r="W979" s="251"/>
      <c r="X979" s="252"/>
      <c r="Y979" s="154"/>
      <c r="Z979" s="147"/>
      <c r="AA979" s="147"/>
      <c r="AB979" s="148"/>
      <c r="AC979" s="678"/>
      <c r="AD979" s="679"/>
      <c r="AE979" s="679"/>
      <c r="AF979" s="680"/>
      <c r="AI979" s="109" t="str">
        <f>"55:field225:" &amp; IF(I979="■",1,IF(L979="■",2,IF(O979="■",3,0)))</f>
        <v>55:field225:0</v>
      </c>
    </row>
    <row r="980" spans="1:36" s="109" customFormat="1" ht="18.75" customHeight="1" x14ac:dyDescent="0.2">
      <c r="A980" s="139"/>
      <c r="B980" s="123"/>
      <c r="C980" s="248"/>
      <c r="D980" s="249"/>
      <c r="E980" s="128"/>
      <c r="F980" s="142"/>
      <c r="G980" s="128"/>
      <c r="H980" s="242" t="s">
        <v>118</v>
      </c>
      <c r="I980" s="156" t="s">
        <v>383</v>
      </c>
      <c r="J980" s="157" t="s">
        <v>250</v>
      </c>
      <c r="K980" s="157"/>
      <c r="L980" s="160" t="s">
        <v>383</v>
      </c>
      <c r="M980" s="157" t="s">
        <v>258</v>
      </c>
      <c r="N980" s="157"/>
      <c r="O980" s="160" t="s">
        <v>383</v>
      </c>
      <c r="P980" s="157" t="s">
        <v>259</v>
      </c>
      <c r="Q980" s="207"/>
      <c r="R980" s="160" t="s">
        <v>383</v>
      </c>
      <c r="S980" s="157" t="s">
        <v>283</v>
      </c>
      <c r="T980" s="157"/>
      <c r="U980" s="157"/>
      <c r="V980" s="157"/>
      <c r="W980" s="157"/>
      <c r="X980" s="165"/>
      <c r="Y980" s="154"/>
      <c r="Z980" s="147"/>
      <c r="AA980" s="147"/>
      <c r="AB980" s="148"/>
      <c r="AC980" s="678"/>
      <c r="AD980" s="679"/>
      <c r="AE980" s="679"/>
      <c r="AF980" s="680"/>
      <c r="AI980" s="109" t="str">
        <f>"55:serteikyo_kyoka_code:" &amp; IF(I980="■",1,IF(L980="■",6,IF(O980="■",5,IF(R980="■",7,0))))</f>
        <v>55:serteikyo_kyoka_code:0</v>
      </c>
    </row>
    <row r="981" spans="1:36" s="621" customFormat="1" ht="18.75" customHeight="1" x14ac:dyDescent="0.2">
      <c r="A981" s="139"/>
      <c r="B981" s="670"/>
      <c r="C981" s="248"/>
      <c r="D981" s="249"/>
      <c r="E981" s="128"/>
      <c r="F981" s="142"/>
      <c r="G981" s="143"/>
      <c r="H981" s="713" t="s">
        <v>790</v>
      </c>
      <c r="I981" s="642" t="s">
        <v>383</v>
      </c>
      <c r="J981" s="616" t="s">
        <v>627</v>
      </c>
      <c r="K981" s="616"/>
      <c r="L981" s="615"/>
      <c r="M981" s="644" t="s">
        <v>383</v>
      </c>
      <c r="N981" s="616" t="s">
        <v>791</v>
      </c>
      <c r="O981" s="617"/>
      <c r="P981" s="615"/>
      <c r="Q981" s="644" t="s">
        <v>383</v>
      </c>
      <c r="R981" s="618" t="s">
        <v>802</v>
      </c>
      <c r="S981" s="615"/>
      <c r="T981" s="615"/>
      <c r="U981" s="615"/>
      <c r="V981" s="618"/>
      <c r="W981" s="619"/>
      <c r="X981" s="620"/>
      <c r="Y981" s="154"/>
      <c r="Z981" s="147"/>
      <c r="AA981" s="147"/>
      <c r="AB981" s="148"/>
      <c r="AC981" s="678"/>
      <c r="AD981" s="679"/>
      <c r="AE981" s="679"/>
      <c r="AF981" s="680"/>
    </row>
    <row r="982" spans="1:36" s="621" customFormat="1" ht="18.75" customHeight="1" x14ac:dyDescent="0.2">
      <c r="A982" s="139"/>
      <c r="B982" s="670"/>
      <c r="C982" s="248"/>
      <c r="D982" s="249"/>
      <c r="E982" s="128"/>
      <c r="F982" s="142"/>
      <c r="G982" s="143"/>
      <c r="H982" s="714"/>
      <c r="I982" s="643" t="s">
        <v>383</v>
      </c>
      <c r="J982" s="623" t="s">
        <v>803</v>
      </c>
      <c r="K982" s="623"/>
      <c r="L982" s="622"/>
      <c r="M982" s="211" t="s">
        <v>383</v>
      </c>
      <c r="N982" s="623" t="s">
        <v>804</v>
      </c>
      <c r="O982" s="624"/>
      <c r="P982" s="622"/>
      <c r="Q982" s="211" t="s">
        <v>383</v>
      </c>
      <c r="R982" s="623" t="s">
        <v>795</v>
      </c>
      <c r="S982" s="622"/>
      <c r="T982" s="623"/>
      <c r="U982" s="211" t="s">
        <v>383</v>
      </c>
      <c r="V982" s="623" t="s">
        <v>796</v>
      </c>
      <c r="W982" s="625"/>
      <c r="X982" s="626"/>
      <c r="Y982" s="154"/>
      <c r="Z982" s="147"/>
      <c r="AA982" s="147"/>
      <c r="AB982" s="148"/>
      <c r="AC982" s="678"/>
      <c r="AD982" s="679"/>
      <c r="AE982" s="679"/>
      <c r="AF982" s="680"/>
    </row>
    <row r="983" spans="1:36" s="109" customFormat="1" ht="18.75" customHeight="1" x14ac:dyDescent="0.2">
      <c r="A983" s="129"/>
      <c r="B983" s="116"/>
      <c r="C983" s="272"/>
      <c r="D983" s="273"/>
      <c r="E983" s="121"/>
      <c r="F983" s="132"/>
      <c r="G983" s="121"/>
      <c r="H983" s="705" t="s">
        <v>97</v>
      </c>
      <c r="I983" s="138" t="s">
        <v>383</v>
      </c>
      <c r="J983" s="119" t="s">
        <v>300</v>
      </c>
      <c r="K983" s="135"/>
      <c r="L983" s="244"/>
      <c r="M983" s="134" t="s">
        <v>383</v>
      </c>
      <c r="N983" s="119" t="s">
        <v>328</v>
      </c>
      <c r="O983" s="244"/>
      <c r="P983" s="244"/>
      <c r="Q983" s="134" t="s">
        <v>383</v>
      </c>
      <c r="R983" s="119" t="s">
        <v>329</v>
      </c>
      <c r="S983" s="244"/>
      <c r="T983" s="244"/>
      <c r="U983" s="134" t="s">
        <v>383</v>
      </c>
      <c r="V983" s="119" t="s">
        <v>330</v>
      </c>
      <c r="W983" s="244"/>
      <c r="X983" s="225"/>
      <c r="Y983" s="138" t="s">
        <v>383</v>
      </c>
      <c r="Z983" s="119" t="s">
        <v>249</v>
      </c>
      <c r="AA983" s="119"/>
      <c r="AB983" s="137"/>
      <c r="AC983" s="675"/>
      <c r="AD983" s="676"/>
      <c r="AE983" s="676"/>
      <c r="AF983" s="677"/>
      <c r="AG983" s="109" t="str">
        <f>"ser_code = '" &amp; IF(A999="■",55,"") &amp; "'"</f>
        <v>ser_code = ''</v>
      </c>
      <c r="AH983" s="109" t="str">
        <f>"55:jininkbn_code:"&amp;IF(F999="■",1,IF(F1000="■",2,0))</f>
        <v>55:jininkbn_code:0</v>
      </c>
      <c r="AI983" s="109" t="str">
        <f>"55:yakan_kinmu_code:" &amp; IF(I983="■",1,IF(M983="■",2,IF(Q983="■",3,IF(U983="■",7,IF(I984="■",5,IF(M984="■",6,0))))))</f>
        <v>55:yakan_kinmu_code:0</v>
      </c>
      <c r="AJ983" s="109" t="str">
        <f>"55:field203:" &amp; IF(Y983="■",1,IF(Y984="■",2,0))</f>
        <v>55:field203:0</v>
      </c>
    </row>
    <row r="984" spans="1:36" s="109" customFormat="1" ht="18.75" customHeight="1" x14ac:dyDescent="0.2">
      <c r="A984" s="139"/>
      <c r="B984" s="123"/>
      <c r="C984" s="248"/>
      <c r="D984" s="249"/>
      <c r="E984" s="128"/>
      <c r="F984" s="142"/>
      <c r="G984" s="128"/>
      <c r="H984" s="742"/>
      <c r="I984" s="150" t="s">
        <v>383</v>
      </c>
      <c r="J984" s="169" t="s">
        <v>331</v>
      </c>
      <c r="K984" s="179"/>
      <c r="L984" s="151"/>
      <c r="M984" s="203" t="s">
        <v>383</v>
      </c>
      <c r="N984" s="169" t="s">
        <v>301</v>
      </c>
      <c r="O984" s="151"/>
      <c r="P984" s="151"/>
      <c r="Q984" s="151"/>
      <c r="R984" s="151"/>
      <c r="S984" s="151"/>
      <c r="T984" s="151"/>
      <c r="U984" s="151"/>
      <c r="V984" s="151"/>
      <c r="W984" s="151"/>
      <c r="X984" s="238"/>
      <c r="Y984" s="125" t="s">
        <v>383</v>
      </c>
      <c r="Z984" s="126" t="s">
        <v>255</v>
      </c>
      <c r="AA984" s="147"/>
      <c r="AB984" s="148"/>
      <c r="AC984" s="678"/>
      <c r="AD984" s="679"/>
      <c r="AE984" s="679"/>
      <c r="AF984" s="680"/>
      <c r="AG984" s="109" t="str">
        <f>"55:sisetukbn_code:" &amp; IF(D999="■",4,0)</f>
        <v>55:sisetukbn_code:0</v>
      </c>
    </row>
    <row r="985" spans="1:36" s="109" customFormat="1" ht="18.75" customHeight="1" x14ac:dyDescent="0.2">
      <c r="A985" s="139"/>
      <c r="B985" s="123"/>
      <c r="C985" s="248"/>
      <c r="D985" s="249"/>
      <c r="E985" s="128"/>
      <c r="F985" s="142"/>
      <c r="G985" s="128"/>
      <c r="H985" s="741" t="s">
        <v>93</v>
      </c>
      <c r="I985" s="175" t="s">
        <v>383</v>
      </c>
      <c r="J985" s="168" t="s">
        <v>250</v>
      </c>
      <c r="K985" s="168"/>
      <c r="L985" s="172"/>
      <c r="M985" s="206" t="s">
        <v>383</v>
      </c>
      <c r="N985" s="168" t="s">
        <v>289</v>
      </c>
      <c r="O985" s="168"/>
      <c r="P985" s="172"/>
      <c r="Q985" s="134" t="s">
        <v>383</v>
      </c>
      <c r="R985" s="172" t="s">
        <v>372</v>
      </c>
      <c r="S985" s="172"/>
      <c r="T985" s="172"/>
      <c r="U985" s="134" t="s">
        <v>383</v>
      </c>
      <c r="V985" s="172" t="s">
        <v>373</v>
      </c>
      <c r="W985" s="251"/>
      <c r="X985" s="252"/>
      <c r="Y985" s="154"/>
      <c r="Z985" s="147"/>
      <c r="AA985" s="147"/>
      <c r="AB985" s="148"/>
      <c r="AC985" s="678"/>
      <c r="AD985" s="679"/>
      <c r="AE985" s="679"/>
      <c r="AF985" s="680"/>
      <c r="AI985" s="109" t="str">
        <f>"55:"&amp;IF(AND(I985="□",M985="□",Q985="□",U985="□",I986="□",M986="□"),"ketu_doctor_code:0",IF(I985="■","ketu_doctor_code:1:field197:1:ketu_kangos_code:1:ketu_kshoku_code:1:ketu_ksiensou_code:1",IF(M985="■","ketu_doctor_code:2","ketu_doctor_code:1")
&amp;IF(Q985="■",":field197:2",":field197:1")
&amp;IF(U985="■",":ketu_kangos_code:2",":ketu_kangos_code:1")
&amp;IF(I986="■",":ketu_kshoku_code:2",":ketu_kshoku_code:1")
&amp;IF(M986="■",":ketu_ksiensou_code:2",":ketu_ksiensou_code:1")))</f>
        <v>55:ketu_doctor_code:0</v>
      </c>
    </row>
    <row r="986" spans="1:36" s="109" customFormat="1" ht="18.75" customHeight="1" x14ac:dyDescent="0.2">
      <c r="A986" s="139"/>
      <c r="B986" s="123"/>
      <c r="C986" s="248"/>
      <c r="D986" s="249"/>
      <c r="E986" s="128"/>
      <c r="F986" s="142"/>
      <c r="G986" s="128"/>
      <c r="H986" s="742"/>
      <c r="I986" s="150" t="s">
        <v>383</v>
      </c>
      <c r="J986" s="151" t="s">
        <v>374</v>
      </c>
      <c r="K986" s="169"/>
      <c r="L986" s="151"/>
      <c r="M986" s="203" t="s">
        <v>383</v>
      </c>
      <c r="N986" s="169" t="s">
        <v>422</v>
      </c>
      <c r="O986" s="169"/>
      <c r="P986" s="151"/>
      <c r="Q986" s="151"/>
      <c r="R986" s="151"/>
      <c r="S986" s="151"/>
      <c r="T986" s="151"/>
      <c r="U986" s="151"/>
      <c r="V986" s="151"/>
      <c r="W986" s="152"/>
      <c r="X986" s="153"/>
      <c r="Y986" s="154"/>
      <c r="Z986" s="147"/>
      <c r="AA986" s="147"/>
      <c r="AB986" s="148"/>
      <c r="AC986" s="678"/>
      <c r="AD986" s="679"/>
      <c r="AE986" s="679"/>
      <c r="AF986" s="680"/>
    </row>
    <row r="987" spans="1:36" s="109" customFormat="1" ht="18.75" customHeight="1" x14ac:dyDescent="0.2">
      <c r="A987" s="139"/>
      <c r="B987" s="123"/>
      <c r="C987" s="248"/>
      <c r="D987" s="249"/>
      <c r="E987" s="128"/>
      <c r="F987" s="142"/>
      <c r="G987" s="128"/>
      <c r="H987" s="242" t="s">
        <v>98</v>
      </c>
      <c r="I987" s="156" t="s">
        <v>383</v>
      </c>
      <c r="J987" s="157" t="s">
        <v>265</v>
      </c>
      <c r="K987" s="158"/>
      <c r="L987" s="159"/>
      <c r="M987" s="160" t="s">
        <v>383</v>
      </c>
      <c r="N987" s="157" t="s">
        <v>266</v>
      </c>
      <c r="O987" s="158"/>
      <c r="P987" s="158"/>
      <c r="Q987" s="158"/>
      <c r="R987" s="158"/>
      <c r="S987" s="158"/>
      <c r="T987" s="158"/>
      <c r="U987" s="158"/>
      <c r="V987" s="158"/>
      <c r="W987" s="158"/>
      <c r="X987" s="166"/>
      <c r="Y987" s="154"/>
      <c r="Z987" s="147"/>
      <c r="AA987" s="147"/>
      <c r="AB987" s="148"/>
      <c r="AC987" s="678"/>
      <c r="AD987" s="679"/>
      <c r="AE987" s="679"/>
      <c r="AF987" s="680"/>
      <c r="AI987" s="109" t="str">
        <f>"55:unitcare_code:" &amp; IF(I987="■",1,IF(M987="■",2,0))</f>
        <v>55:unitcare_code:0</v>
      </c>
    </row>
    <row r="988" spans="1:36" s="109" customFormat="1" ht="18.75" customHeight="1" x14ac:dyDescent="0.2">
      <c r="A988" s="139"/>
      <c r="B988" s="123"/>
      <c r="C988" s="248"/>
      <c r="D988" s="249"/>
      <c r="E988" s="128"/>
      <c r="F988" s="142"/>
      <c r="G988" s="128"/>
      <c r="H988" s="242" t="s">
        <v>107</v>
      </c>
      <c r="I988" s="156" t="s">
        <v>383</v>
      </c>
      <c r="J988" s="157" t="s">
        <v>395</v>
      </c>
      <c r="K988" s="158"/>
      <c r="L988" s="159"/>
      <c r="M988" s="160" t="s">
        <v>383</v>
      </c>
      <c r="N988" s="157" t="s">
        <v>396</v>
      </c>
      <c r="O988" s="162"/>
      <c r="P988" s="158"/>
      <c r="Q988" s="158"/>
      <c r="R988" s="158"/>
      <c r="S988" s="158"/>
      <c r="T988" s="158"/>
      <c r="U988" s="158"/>
      <c r="V988" s="158"/>
      <c r="W988" s="158"/>
      <c r="X988" s="166"/>
      <c r="Y988" s="154"/>
      <c r="Z988" s="147"/>
      <c r="AA988" s="147"/>
      <c r="AB988" s="148"/>
      <c r="AC988" s="678"/>
      <c r="AD988" s="679"/>
      <c r="AE988" s="679"/>
      <c r="AF988" s="680"/>
      <c r="AI988" s="109" t="str">
        <f>"55:sintaikousoku_code:" &amp; IF(I988="■",1,IF(M988="■",2,0))</f>
        <v>55:sintaikousoku_code:0</v>
      </c>
    </row>
    <row r="989" spans="1:36" s="109" customFormat="1" ht="18.75" customHeight="1" x14ac:dyDescent="0.2">
      <c r="A989" s="139"/>
      <c r="B989" s="123"/>
      <c r="C989" s="248"/>
      <c r="D989" s="249"/>
      <c r="E989" s="128"/>
      <c r="F989" s="142"/>
      <c r="G989" s="128"/>
      <c r="H989" s="242" t="s">
        <v>200</v>
      </c>
      <c r="I989" s="156" t="s">
        <v>383</v>
      </c>
      <c r="J989" s="157" t="s">
        <v>395</v>
      </c>
      <c r="K989" s="158"/>
      <c r="L989" s="159"/>
      <c r="M989" s="160" t="s">
        <v>383</v>
      </c>
      <c r="N989" s="157" t="s">
        <v>396</v>
      </c>
      <c r="O989" s="162"/>
      <c r="P989" s="158"/>
      <c r="Q989" s="158"/>
      <c r="R989" s="158"/>
      <c r="S989" s="158"/>
      <c r="T989" s="158"/>
      <c r="U989" s="158"/>
      <c r="V989" s="158"/>
      <c r="W989" s="158"/>
      <c r="X989" s="166"/>
      <c r="Y989" s="154"/>
      <c r="Z989" s="147"/>
      <c r="AA989" s="147"/>
      <c r="AB989" s="148"/>
      <c r="AC989" s="678"/>
      <c r="AD989" s="679"/>
      <c r="AE989" s="679"/>
      <c r="AF989" s="680"/>
      <c r="AI989" s="109" t="str">
        <f>"55:field208:" &amp; IF(I989="■",1,IF(M989="■",2,0))</f>
        <v>55:field208:0</v>
      </c>
    </row>
    <row r="990" spans="1:36" s="109" customFormat="1" ht="19.5" customHeight="1" x14ac:dyDescent="0.2">
      <c r="A990" s="139"/>
      <c r="B990" s="123"/>
      <c r="C990" s="140"/>
      <c r="D990" s="141"/>
      <c r="E990" s="128"/>
      <c r="F990" s="142"/>
      <c r="G990" s="143"/>
      <c r="H990" s="155" t="s">
        <v>430</v>
      </c>
      <c r="I990" s="156" t="s">
        <v>383</v>
      </c>
      <c r="J990" s="157" t="s">
        <v>395</v>
      </c>
      <c r="K990" s="158"/>
      <c r="L990" s="159"/>
      <c r="M990" s="160" t="s">
        <v>383</v>
      </c>
      <c r="N990" s="157" t="s">
        <v>431</v>
      </c>
      <c r="O990" s="161"/>
      <c r="P990" s="157"/>
      <c r="Q990" s="162"/>
      <c r="R990" s="162"/>
      <c r="S990" s="162"/>
      <c r="T990" s="162"/>
      <c r="U990" s="162"/>
      <c r="V990" s="162"/>
      <c r="W990" s="162"/>
      <c r="X990" s="163"/>
      <c r="Y990" s="147"/>
      <c r="Z990" s="147"/>
      <c r="AA990" s="147"/>
      <c r="AB990" s="148"/>
      <c r="AC990" s="678"/>
      <c r="AD990" s="679"/>
      <c r="AE990" s="679"/>
      <c r="AF990" s="680"/>
      <c r="AI990" s="109" t="str">
        <f>"55:field223:" &amp; IF(I990="■",1,IF(M990="■",2,0))</f>
        <v>55:field223:0</v>
      </c>
    </row>
    <row r="991" spans="1:36" s="109" customFormat="1" ht="19.5" customHeight="1" x14ac:dyDescent="0.2">
      <c r="A991" s="139"/>
      <c r="B991" s="123"/>
      <c r="C991" s="140"/>
      <c r="D991" s="141"/>
      <c r="E991" s="128"/>
      <c r="F991" s="142"/>
      <c r="G991" s="143"/>
      <c r="H991" s="155" t="s">
        <v>448</v>
      </c>
      <c r="I991" s="156" t="s">
        <v>383</v>
      </c>
      <c r="J991" s="157" t="s">
        <v>395</v>
      </c>
      <c r="K991" s="158"/>
      <c r="L991" s="159"/>
      <c r="M991" s="160" t="s">
        <v>383</v>
      </c>
      <c r="N991" s="157" t="s">
        <v>431</v>
      </c>
      <c r="O991" s="161"/>
      <c r="P991" s="157"/>
      <c r="Q991" s="162"/>
      <c r="R991" s="162"/>
      <c r="S991" s="162"/>
      <c r="T991" s="162"/>
      <c r="U991" s="162"/>
      <c r="V991" s="162"/>
      <c r="W991" s="162"/>
      <c r="X991" s="163"/>
      <c r="Y991" s="147"/>
      <c r="Z991" s="147"/>
      <c r="AA991" s="147"/>
      <c r="AB991" s="148"/>
      <c r="AC991" s="678"/>
      <c r="AD991" s="679"/>
      <c r="AE991" s="679"/>
      <c r="AF991" s="680"/>
      <c r="AI991" s="109" t="str">
        <f>"55:field232:" &amp; IF(I991="■",1,IF(M991="■",2,0))</f>
        <v>55:field232:0</v>
      </c>
    </row>
    <row r="992" spans="1:36" s="109" customFormat="1" ht="18.75" customHeight="1" x14ac:dyDescent="0.2">
      <c r="A992" s="139"/>
      <c r="B992" s="123"/>
      <c r="C992" s="248"/>
      <c r="D992" s="249"/>
      <c r="E992" s="128"/>
      <c r="F992" s="142"/>
      <c r="G992" s="128"/>
      <c r="H992" s="694" t="s">
        <v>202</v>
      </c>
      <c r="I992" s="709" t="s">
        <v>383</v>
      </c>
      <c r="J992" s="708" t="s">
        <v>250</v>
      </c>
      <c r="K992" s="708"/>
      <c r="L992" s="717" t="s">
        <v>383</v>
      </c>
      <c r="M992" s="708" t="s">
        <v>267</v>
      </c>
      <c r="N992" s="708"/>
      <c r="O992" s="172"/>
      <c r="P992" s="172"/>
      <c r="Q992" s="172"/>
      <c r="R992" s="172"/>
      <c r="S992" s="172"/>
      <c r="T992" s="172"/>
      <c r="U992" s="172"/>
      <c r="V992" s="172"/>
      <c r="W992" s="172"/>
      <c r="X992" s="209"/>
      <c r="Y992" s="154"/>
      <c r="Z992" s="147"/>
      <c r="AA992" s="147"/>
      <c r="AB992" s="148"/>
      <c r="AC992" s="678"/>
      <c r="AD992" s="679"/>
      <c r="AE992" s="679"/>
      <c r="AF992" s="680"/>
      <c r="AI992" s="109" t="str">
        <f>"55:field206:" &amp; IF(I992="■",1,IF(L992="■",2,0))</f>
        <v>55:field206:0</v>
      </c>
    </row>
    <row r="993" spans="1:35" s="109" customFormat="1" ht="18.75" customHeight="1" x14ac:dyDescent="0.2">
      <c r="A993" s="139"/>
      <c r="B993" s="123"/>
      <c r="C993" s="248"/>
      <c r="D993" s="249"/>
      <c r="E993" s="128"/>
      <c r="F993" s="142"/>
      <c r="G993" s="128"/>
      <c r="H993" s="693"/>
      <c r="I993" s="710"/>
      <c r="J993" s="698"/>
      <c r="K993" s="698"/>
      <c r="L993" s="718"/>
      <c r="M993" s="698"/>
      <c r="N993" s="698"/>
      <c r="O993" s="151"/>
      <c r="P993" s="151"/>
      <c r="Q993" s="151"/>
      <c r="R993" s="151"/>
      <c r="S993" s="151"/>
      <c r="T993" s="151"/>
      <c r="U993" s="151"/>
      <c r="V993" s="151"/>
      <c r="W993" s="151"/>
      <c r="X993" s="238"/>
      <c r="Y993" s="154"/>
      <c r="Z993" s="147"/>
      <c r="AA993" s="147"/>
      <c r="AB993" s="148"/>
      <c r="AC993" s="678"/>
      <c r="AD993" s="679"/>
      <c r="AE993" s="679"/>
      <c r="AF993" s="680"/>
    </row>
    <row r="994" spans="1:35" s="109" customFormat="1" ht="18.75" customHeight="1" x14ac:dyDescent="0.2">
      <c r="A994" s="139"/>
      <c r="B994" s="123"/>
      <c r="C994" s="248"/>
      <c r="D994" s="249"/>
      <c r="E994" s="128"/>
      <c r="F994" s="142"/>
      <c r="G994" s="128"/>
      <c r="H994" s="242" t="s">
        <v>164</v>
      </c>
      <c r="I994" s="156" t="s">
        <v>383</v>
      </c>
      <c r="J994" s="157" t="s">
        <v>420</v>
      </c>
      <c r="K994" s="158"/>
      <c r="L994" s="159"/>
      <c r="M994" s="160" t="s">
        <v>383</v>
      </c>
      <c r="N994" s="157" t="s">
        <v>332</v>
      </c>
      <c r="O994" s="162"/>
      <c r="P994" s="158"/>
      <c r="Q994" s="158"/>
      <c r="R994" s="158"/>
      <c r="S994" s="158"/>
      <c r="T994" s="158"/>
      <c r="U994" s="158"/>
      <c r="V994" s="158"/>
      <c r="W994" s="158"/>
      <c r="X994" s="166"/>
      <c r="Y994" s="154"/>
      <c r="Z994" s="147"/>
      <c r="AA994" s="147"/>
      <c r="AB994" s="148"/>
      <c r="AC994" s="678"/>
      <c r="AD994" s="679"/>
      <c r="AE994" s="679"/>
      <c r="AF994" s="680"/>
      <c r="AI994" s="109" t="str">
        <f>"55:field190:" &amp; IF(I994="■",1,IF(M994="■",2,0))</f>
        <v>55:field190:0</v>
      </c>
    </row>
    <row r="995" spans="1:35" s="109" customFormat="1" ht="18.75" customHeight="1" x14ac:dyDescent="0.2">
      <c r="A995" s="139"/>
      <c r="B995" s="123"/>
      <c r="C995" s="248"/>
      <c r="D995" s="249"/>
      <c r="E995" s="128"/>
      <c r="F995" s="142"/>
      <c r="G995" s="128"/>
      <c r="H995" s="242" t="s">
        <v>165</v>
      </c>
      <c r="I995" s="156" t="s">
        <v>383</v>
      </c>
      <c r="J995" s="157" t="s">
        <v>420</v>
      </c>
      <c r="K995" s="158"/>
      <c r="L995" s="159"/>
      <c r="M995" s="160" t="s">
        <v>383</v>
      </c>
      <c r="N995" s="157" t="s">
        <v>332</v>
      </c>
      <c r="O995" s="162"/>
      <c r="P995" s="158"/>
      <c r="Q995" s="158"/>
      <c r="R995" s="158"/>
      <c r="S995" s="158"/>
      <c r="T995" s="158"/>
      <c r="U995" s="158"/>
      <c r="V995" s="158"/>
      <c r="W995" s="158"/>
      <c r="X995" s="166"/>
      <c r="Y995" s="154"/>
      <c r="Z995" s="147"/>
      <c r="AA995" s="147"/>
      <c r="AB995" s="148"/>
      <c r="AC995" s="678"/>
      <c r="AD995" s="679"/>
      <c r="AE995" s="679"/>
      <c r="AF995" s="680"/>
      <c r="AI995" s="109" t="str">
        <f>"55:field191:" &amp; IF(I995="■",1,IF(M995="■",2,0))</f>
        <v>55:field191:0</v>
      </c>
    </row>
    <row r="996" spans="1:35" s="109" customFormat="1" ht="18.75" customHeight="1" x14ac:dyDescent="0.2">
      <c r="A996" s="139"/>
      <c r="B996" s="123"/>
      <c r="C996" s="248"/>
      <c r="D996" s="249"/>
      <c r="E996" s="128"/>
      <c r="F996" s="142"/>
      <c r="G996" s="128"/>
      <c r="H996" s="242" t="s">
        <v>122</v>
      </c>
      <c r="I996" s="150" t="s">
        <v>383</v>
      </c>
      <c r="J996" s="169" t="s">
        <v>250</v>
      </c>
      <c r="K996" s="179"/>
      <c r="L996" s="203" t="s">
        <v>383</v>
      </c>
      <c r="M996" s="169" t="s">
        <v>267</v>
      </c>
      <c r="N996" s="207"/>
      <c r="O996" s="158"/>
      <c r="P996" s="158"/>
      <c r="Q996" s="158"/>
      <c r="R996" s="158"/>
      <c r="S996" s="158"/>
      <c r="T996" s="158"/>
      <c r="U996" s="158"/>
      <c r="V996" s="158"/>
      <c r="W996" s="158"/>
      <c r="X996" s="166"/>
      <c r="Y996" s="154"/>
      <c r="Z996" s="147"/>
      <c r="AA996" s="147"/>
      <c r="AB996" s="148"/>
      <c r="AC996" s="678"/>
      <c r="AD996" s="679"/>
      <c r="AE996" s="679"/>
      <c r="AF996" s="680"/>
      <c r="AI996" s="109" t="str">
        <f>"55:jyakuninti_uke_code:" &amp; IF(I996="■",1,IF(L996="■",2,0))</f>
        <v>55:jyakuninti_uke_code:0</v>
      </c>
    </row>
    <row r="997" spans="1:35" s="109" customFormat="1" ht="18.75" customHeight="1" x14ac:dyDescent="0.2">
      <c r="A997" s="139"/>
      <c r="B997" s="123"/>
      <c r="C997" s="248"/>
      <c r="D997" s="249"/>
      <c r="E997" s="128"/>
      <c r="F997" s="142"/>
      <c r="G997" s="128"/>
      <c r="H997" s="242" t="s">
        <v>199</v>
      </c>
      <c r="I997" s="150" t="s">
        <v>383</v>
      </c>
      <c r="J997" s="169" t="s">
        <v>250</v>
      </c>
      <c r="K997" s="179"/>
      <c r="L997" s="203" t="s">
        <v>383</v>
      </c>
      <c r="M997" s="169" t="s">
        <v>267</v>
      </c>
      <c r="N997" s="207"/>
      <c r="O997" s="158"/>
      <c r="P997" s="158"/>
      <c r="Q997" s="158"/>
      <c r="R997" s="158"/>
      <c r="S997" s="158"/>
      <c r="T997" s="158"/>
      <c r="U997" s="158"/>
      <c r="V997" s="158"/>
      <c r="W997" s="158"/>
      <c r="X997" s="166"/>
      <c r="Y997" s="154"/>
      <c r="Z997" s="147"/>
      <c r="AA997" s="147"/>
      <c r="AB997" s="148"/>
      <c r="AC997" s="678"/>
      <c r="AD997" s="679"/>
      <c r="AE997" s="679"/>
      <c r="AF997" s="680"/>
      <c r="AI997" s="109" t="str">
        <f>"55:field207:" &amp; IF(I997="■",1,IF(L997="■",2,0))</f>
        <v>55:field207:0</v>
      </c>
    </row>
    <row r="998" spans="1:35" s="109" customFormat="1" ht="18.75" customHeight="1" x14ac:dyDescent="0.2">
      <c r="A998" s="139"/>
      <c r="B998" s="123"/>
      <c r="C998" s="248"/>
      <c r="D998" s="249"/>
      <c r="E998" s="128"/>
      <c r="F998" s="142"/>
      <c r="G998" s="128"/>
      <c r="H998" s="242" t="s">
        <v>112</v>
      </c>
      <c r="I998" s="150" t="s">
        <v>383</v>
      </c>
      <c r="J998" s="169" t="s">
        <v>250</v>
      </c>
      <c r="K998" s="179"/>
      <c r="L998" s="203" t="s">
        <v>383</v>
      </c>
      <c r="M998" s="169" t="s">
        <v>267</v>
      </c>
      <c r="N998" s="207"/>
      <c r="O998" s="158"/>
      <c r="P998" s="158"/>
      <c r="Q998" s="158"/>
      <c r="R998" s="158"/>
      <c r="S998" s="158"/>
      <c r="T998" s="158"/>
      <c r="U998" s="158"/>
      <c r="V998" s="158"/>
      <c r="W998" s="158"/>
      <c r="X998" s="166"/>
      <c r="Y998" s="154"/>
      <c r="Z998" s="147"/>
      <c r="AA998" s="147"/>
      <c r="AB998" s="148"/>
      <c r="AC998" s="678"/>
      <c r="AD998" s="679"/>
      <c r="AE998" s="679"/>
      <c r="AF998" s="680"/>
      <c r="AI998" s="109" t="str">
        <f>"55:ryouyoushoku_code:" &amp; IF(I998="■",1,IF(L998="■",2,0))</f>
        <v>55:ryouyoushoku_code:0</v>
      </c>
    </row>
    <row r="999" spans="1:35" s="109" customFormat="1" ht="18.75" customHeight="1" x14ac:dyDescent="0.2">
      <c r="A999" s="125" t="s">
        <v>383</v>
      </c>
      <c r="B999" s="123">
        <v>55</v>
      </c>
      <c r="C999" s="248" t="s">
        <v>203</v>
      </c>
      <c r="D999" s="125" t="s">
        <v>383</v>
      </c>
      <c r="E999" s="128" t="s">
        <v>425</v>
      </c>
      <c r="F999" s="125" t="s">
        <v>383</v>
      </c>
      <c r="G999" s="128" t="s">
        <v>368</v>
      </c>
      <c r="H999" s="741" t="s">
        <v>152</v>
      </c>
      <c r="I999" s="175" t="s">
        <v>383</v>
      </c>
      <c r="J999" s="168" t="s">
        <v>320</v>
      </c>
      <c r="K999" s="168"/>
      <c r="L999" s="251"/>
      <c r="M999" s="251"/>
      <c r="N999" s="251"/>
      <c r="O999" s="251"/>
      <c r="P999" s="206" t="s">
        <v>383</v>
      </c>
      <c r="Q999" s="168" t="s">
        <v>321</v>
      </c>
      <c r="R999" s="251"/>
      <c r="S999" s="251"/>
      <c r="T999" s="251"/>
      <c r="U999" s="251"/>
      <c r="V999" s="251"/>
      <c r="W999" s="251"/>
      <c r="X999" s="252"/>
      <c r="Y999" s="154"/>
      <c r="Z999" s="147"/>
      <c r="AA999" s="147"/>
      <c r="AB999" s="148"/>
      <c r="AC999" s="678"/>
      <c r="AD999" s="679"/>
      <c r="AE999" s="679"/>
      <c r="AF999" s="680"/>
      <c r="AI999" s="109" t="str">
        <f>"55:" &amp; IF(AND(I999="□",P999="□",I1000="□"),"tokusin_jyusho_code:0:tokusin_yakuzai_code:0:shuudan_comu_code:0",IF(I999="■","tokusin_jyusho_code:2","tokusin_jyusho_code:1")
&amp;IF(P999="■",":tokusin_yakuzai_code:2",":tokusin_yakuzai_code:1")
&amp;IF(I1000="■",":shuudan_comu_code:2",":shuudan_comu_code:1"))</f>
        <v>55:tokusin_jyusho_code:0:tokusin_yakuzai_code:0:shuudan_comu_code:0</v>
      </c>
    </row>
    <row r="1000" spans="1:35" s="109" customFormat="1" ht="18.75" customHeight="1" x14ac:dyDescent="0.2">
      <c r="A1000" s="139"/>
      <c r="B1000" s="123"/>
      <c r="C1000" s="248"/>
      <c r="D1000" s="249"/>
      <c r="E1000" s="128"/>
      <c r="F1000" s="125" t="s">
        <v>383</v>
      </c>
      <c r="G1000" s="128" t="s">
        <v>369</v>
      </c>
      <c r="H1000" s="742"/>
      <c r="I1000" s="150" t="s">
        <v>383</v>
      </c>
      <c r="J1000" s="169" t="s">
        <v>334</v>
      </c>
      <c r="K1000" s="152"/>
      <c r="L1000" s="152"/>
      <c r="M1000" s="152"/>
      <c r="N1000" s="152"/>
      <c r="O1000" s="152"/>
      <c r="P1000" s="152"/>
      <c r="Q1000" s="151"/>
      <c r="R1000" s="152"/>
      <c r="S1000" s="152"/>
      <c r="T1000" s="152"/>
      <c r="U1000" s="152"/>
      <c r="V1000" s="152"/>
      <c r="W1000" s="152"/>
      <c r="X1000" s="153"/>
      <c r="Y1000" s="154"/>
      <c r="Z1000" s="147"/>
      <c r="AA1000" s="147"/>
      <c r="AB1000" s="148"/>
      <c r="AC1000" s="678"/>
      <c r="AD1000" s="679"/>
      <c r="AE1000" s="679"/>
      <c r="AF1000" s="680"/>
    </row>
    <row r="1001" spans="1:35" s="109" customFormat="1" ht="18.75" customHeight="1" x14ac:dyDescent="0.2">
      <c r="A1001" s="139"/>
      <c r="B1001" s="123"/>
      <c r="C1001" s="248"/>
      <c r="D1001" s="249"/>
      <c r="E1001" s="128"/>
      <c r="F1001" s="142"/>
      <c r="G1001" s="128"/>
      <c r="H1001" s="741" t="s">
        <v>103</v>
      </c>
      <c r="I1001" s="175" t="s">
        <v>383</v>
      </c>
      <c r="J1001" s="168" t="s">
        <v>335</v>
      </c>
      <c r="K1001" s="181"/>
      <c r="L1001" s="214"/>
      <c r="M1001" s="206" t="s">
        <v>383</v>
      </c>
      <c r="N1001" s="168" t="s">
        <v>336</v>
      </c>
      <c r="O1001" s="251"/>
      <c r="P1001" s="251"/>
      <c r="Q1001" s="206" t="s">
        <v>383</v>
      </c>
      <c r="R1001" s="168" t="s">
        <v>337</v>
      </c>
      <c r="S1001" s="251"/>
      <c r="T1001" s="251"/>
      <c r="U1001" s="251"/>
      <c r="V1001" s="251"/>
      <c r="W1001" s="251"/>
      <c r="X1001" s="252"/>
      <c r="Y1001" s="154"/>
      <c r="Z1001" s="147"/>
      <c r="AA1001" s="147"/>
      <c r="AB1001" s="148"/>
      <c r="AC1001" s="678"/>
      <c r="AD1001" s="679"/>
      <c r="AE1001" s="679"/>
      <c r="AF1001" s="680"/>
      <c r="AI1001" s="109" t="str">
        <f>"55:"&amp;IF(AND(I1001="□",M1001="□",Q1001="□",I1002="□",Q1002="□"),"koriha_rryoho1_code:0:koriha_sryoho_code:0:koriha_gengo_code:0:riha_seisin_code:0:koriha_other_code:0",IF(I1001="■","koriha_rryoho1_code:2","koriha_rryoho1_code:1")
&amp;IF(M1001="■",":koriha_sryoho_code:2",":koriha_sryoho_code:1")
&amp;IF(Q1001="■",":koriha_gengo_code:2",":koriha_gengo_code:1")
&amp;IF(I1002="■",":riha_seisin_code:2",":riha_seisin_code:1")
&amp;IF(Q1002="■",":koriha_other_code:2",":koriha_other_code:1"))</f>
        <v>55:koriha_rryoho1_code:0:koriha_sryoho_code:0:koriha_gengo_code:0:riha_seisin_code:0:koriha_other_code:0</v>
      </c>
    </row>
    <row r="1002" spans="1:35" s="109" customFormat="1" ht="18.75" customHeight="1" x14ac:dyDescent="0.2">
      <c r="A1002" s="139"/>
      <c r="B1002" s="123"/>
      <c r="C1002" s="248"/>
      <c r="D1002" s="249"/>
      <c r="E1002" s="128"/>
      <c r="F1002" s="142"/>
      <c r="G1002" s="128"/>
      <c r="H1002" s="742"/>
      <c r="I1002" s="150" t="s">
        <v>383</v>
      </c>
      <c r="J1002" s="169" t="s">
        <v>338</v>
      </c>
      <c r="K1002" s="152"/>
      <c r="L1002" s="152"/>
      <c r="M1002" s="152"/>
      <c r="N1002" s="152"/>
      <c r="O1002" s="152"/>
      <c r="P1002" s="152"/>
      <c r="Q1002" s="203" t="s">
        <v>383</v>
      </c>
      <c r="R1002" s="169" t="s">
        <v>339</v>
      </c>
      <c r="S1002" s="151"/>
      <c r="T1002" s="152"/>
      <c r="U1002" s="152"/>
      <c r="V1002" s="152"/>
      <c r="W1002" s="152"/>
      <c r="X1002" s="153"/>
      <c r="Y1002" s="154"/>
      <c r="Z1002" s="147"/>
      <c r="AA1002" s="147"/>
      <c r="AB1002" s="148"/>
      <c r="AC1002" s="678"/>
      <c r="AD1002" s="679"/>
      <c r="AE1002" s="679"/>
      <c r="AF1002" s="680"/>
    </row>
    <row r="1003" spans="1:35" s="109" customFormat="1" ht="18.75" customHeight="1" x14ac:dyDescent="0.2">
      <c r="A1003" s="139"/>
      <c r="B1003" s="123"/>
      <c r="C1003" s="248"/>
      <c r="D1003" s="249"/>
      <c r="E1003" s="128"/>
      <c r="F1003" s="142"/>
      <c r="G1003" s="128"/>
      <c r="H1003" s="694" t="s">
        <v>452</v>
      </c>
      <c r="I1003" s="709" t="s">
        <v>383</v>
      </c>
      <c r="J1003" s="708" t="s">
        <v>250</v>
      </c>
      <c r="K1003" s="708"/>
      <c r="L1003" s="717" t="s">
        <v>383</v>
      </c>
      <c r="M1003" s="708" t="s">
        <v>453</v>
      </c>
      <c r="N1003" s="708"/>
      <c r="O1003" s="708"/>
      <c r="P1003" s="717" t="s">
        <v>383</v>
      </c>
      <c r="Q1003" s="708" t="s">
        <v>454</v>
      </c>
      <c r="R1003" s="708"/>
      <c r="S1003" s="708"/>
      <c r="T1003" s="717" t="s">
        <v>383</v>
      </c>
      <c r="U1003" s="708" t="s">
        <v>455</v>
      </c>
      <c r="V1003" s="708"/>
      <c r="W1003" s="708"/>
      <c r="X1003" s="779"/>
      <c r="Y1003" s="154"/>
      <c r="Z1003" s="147"/>
      <c r="AA1003" s="147"/>
      <c r="AB1003" s="148"/>
      <c r="AC1003" s="678"/>
      <c r="AD1003" s="679"/>
      <c r="AE1003" s="679"/>
      <c r="AF1003" s="680"/>
      <c r="AI1003" s="109" t="str">
        <f>"55:"&amp;IF(AND(I1003="□",L1003="□",P1003="□",T1003="□"),"field236:0:field237:0:field238:0",IF(I1003="■","field236:1:field237:1:field238:1",IF(L1003="■","field236:2","field236:1")
&amp;IF(P1003="■",":field237:2",":field237:1")
&amp;IF(T1003="■",":field238:2",":field238:1")))</f>
        <v>55:field236:0:field237:0:field238:0</v>
      </c>
    </row>
    <row r="1004" spans="1:35" s="109" customFormat="1" ht="18.75" customHeight="1" x14ac:dyDescent="0.2">
      <c r="A1004" s="139"/>
      <c r="B1004" s="123"/>
      <c r="C1004" s="248"/>
      <c r="D1004" s="249"/>
      <c r="E1004" s="128"/>
      <c r="F1004" s="142"/>
      <c r="G1004" s="128"/>
      <c r="H1004" s="693"/>
      <c r="I1004" s="710"/>
      <c r="J1004" s="698"/>
      <c r="K1004" s="698"/>
      <c r="L1004" s="718"/>
      <c r="M1004" s="698"/>
      <c r="N1004" s="698"/>
      <c r="O1004" s="698"/>
      <c r="P1004" s="718"/>
      <c r="Q1004" s="698"/>
      <c r="R1004" s="698"/>
      <c r="S1004" s="698"/>
      <c r="T1004" s="718"/>
      <c r="U1004" s="698"/>
      <c r="V1004" s="698"/>
      <c r="W1004" s="698"/>
      <c r="X1004" s="780"/>
      <c r="Y1004" s="154"/>
      <c r="Z1004" s="147"/>
      <c r="AA1004" s="147"/>
      <c r="AB1004" s="148"/>
      <c r="AC1004" s="678"/>
      <c r="AD1004" s="679"/>
      <c r="AE1004" s="679"/>
      <c r="AF1004" s="680"/>
    </row>
    <row r="1005" spans="1:35" s="109" customFormat="1" ht="18.75" customHeight="1" x14ac:dyDescent="0.2">
      <c r="A1005" s="139"/>
      <c r="B1005" s="123"/>
      <c r="C1005" s="248"/>
      <c r="D1005" s="249"/>
      <c r="E1005" s="128"/>
      <c r="F1005" s="142"/>
      <c r="G1005" s="128"/>
      <c r="H1005" s="164" t="s">
        <v>120</v>
      </c>
      <c r="I1005" s="150" t="s">
        <v>383</v>
      </c>
      <c r="J1005" s="169" t="s">
        <v>250</v>
      </c>
      <c r="K1005" s="179"/>
      <c r="L1005" s="203" t="s">
        <v>383</v>
      </c>
      <c r="M1005" s="169" t="s">
        <v>267</v>
      </c>
      <c r="N1005" s="158"/>
      <c r="O1005" s="158"/>
      <c r="P1005" s="158"/>
      <c r="Q1005" s="158"/>
      <c r="R1005" s="158"/>
      <c r="S1005" s="158"/>
      <c r="T1005" s="158"/>
      <c r="U1005" s="158"/>
      <c r="V1005" s="158"/>
      <c r="W1005" s="158"/>
      <c r="X1005" s="166"/>
      <c r="Y1005" s="154"/>
      <c r="Z1005" s="147"/>
      <c r="AA1005" s="147"/>
      <c r="AB1005" s="148"/>
      <c r="AC1005" s="678"/>
      <c r="AD1005" s="679"/>
      <c r="AE1005" s="679"/>
      <c r="AF1005" s="680"/>
      <c r="AI1005" s="109" t="str">
        <f>"55:ninti_riha_code:" &amp; IF(I1005="■",1,IF(L1005="■",2,0))</f>
        <v>55:ninti_riha_code:0</v>
      </c>
    </row>
    <row r="1006" spans="1:35" s="109" customFormat="1" ht="18.75" customHeight="1" x14ac:dyDescent="0.2">
      <c r="A1006" s="139"/>
      <c r="B1006" s="123"/>
      <c r="C1006" s="248"/>
      <c r="D1006" s="249"/>
      <c r="E1006" s="128"/>
      <c r="F1006" s="142"/>
      <c r="G1006" s="128"/>
      <c r="H1006" s="242" t="s">
        <v>116</v>
      </c>
      <c r="I1006" s="156" t="s">
        <v>383</v>
      </c>
      <c r="J1006" s="157" t="s">
        <v>250</v>
      </c>
      <c r="K1006" s="157"/>
      <c r="L1006" s="160" t="s">
        <v>383</v>
      </c>
      <c r="M1006" s="157" t="s">
        <v>251</v>
      </c>
      <c r="N1006" s="157"/>
      <c r="O1006" s="160" t="s">
        <v>383</v>
      </c>
      <c r="P1006" s="157" t="s">
        <v>252</v>
      </c>
      <c r="Q1006" s="162"/>
      <c r="R1006" s="158"/>
      <c r="S1006" s="158"/>
      <c r="T1006" s="158"/>
      <c r="U1006" s="158"/>
      <c r="V1006" s="158"/>
      <c r="W1006" s="158"/>
      <c r="X1006" s="166"/>
      <c r="Y1006" s="154"/>
      <c r="Z1006" s="147"/>
      <c r="AA1006" s="147"/>
      <c r="AB1006" s="148"/>
      <c r="AC1006" s="678"/>
      <c r="AD1006" s="679"/>
      <c r="AE1006" s="679"/>
      <c r="AF1006" s="680"/>
      <c r="AI1006" s="109" t="str">
        <f>"55:ninti_senmoncare_code:" &amp; IF(I1006="■",1,IF(O1006="■",3,IF(L1006="■",2,0)))</f>
        <v>55:ninti_senmoncare_code:0</v>
      </c>
    </row>
    <row r="1007" spans="1:35" s="109" customFormat="1" ht="18.75" customHeight="1" x14ac:dyDescent="0.2">
      <c r="A1007" s="139"/>
      <c r="B1007" s="123"/>
      <c r="C1007" s="248"/>
      <c r="D1007" s="249"/>
      <c r="E1007" s="128"/>
      <c r="F1007" s="142"/>
      <c r="G1007" s="128"/>
      <c r="H1007" s="242" t="s">
        <v>447</v>
      </c>
      <c r="I1007" s="156" t="s">
        <v>383</v>
      </c>
      <c r="J1007" s="157" t="s">
        <v>250</v>
      </c>
      <c r="K1007" s="157"/>
      <c r="L1007" s="160" t="s">
        <v>383</v>
      </c>
      <c r="M1007" s="157" t="s">
        <v>251</v>
      </c>
      <c r="N1007" s="157"/>
      <c r="O1007" s="160" t="s">
        <v>383</v>
      </c>
      <c r="P1007" s="157" t="s">
        <v>252</v>
      </c>
      <c r="Q1007" s="158"/>
      <c r="R1007" s="158"/>
      <c r="S1007" s="158"/>
      <c r="T1007" s="158"/>
      <c r="U1007" s="158"/>
      <c r="V1007" s="158"/>
      <c r="W1007" s="158"/>
      <c r="X1007" s="166"/>
      <c r="Y1007" s="154"/>
      <c r="Z1007" s="147"/>
      <c r="AA1007" s="147"/>
      <c r="AB1007" s="148"/>
      <c r="AC1007" s="678"/>
      <c r="AD1007" s="679"/>
      <c r="AE1007" s="679"/>
      <c r="AF1007" s="680"/>
      <c r="AI1007" s="109" t="str">
        <f>"55:field228:" &amp; IF(I1007="■",1,IF(L1007="■",2,IF(O1007="■",3,0)))</f>
        <v>55:field228:0</v>
      </c>
    </row>
    <row r="1008" spans="1:35" s="109" customFormat="1" ht="18.75" customHeight="1" x14ac:dyDescent="0.2">
      <c r="A1008" s="139"/>
      <c r="B1008" s="123"/>
      <c r="C1008" s="248"/>
      <c r="D1008" s="249"/>
      <c r="E1008" s="128"/>
      <c r="F1008" s="142"/>
      <c r="G1008" s="128"/>
      <c r="H1008" s="242" t="s">
        <v>142</v>
      </c>
      <c r="I1008" s="156" t="s">
        <v>383</v>
      </c>
      <c r="J1008" s="157" t="s">
        <v>250</v>
      </c>
      <c r="K1008" s="157"/>
      <c r="L1008" s="160" t="s">
        <v>383</v>
      </c>
      <c r="M1008" s="157" t="s">
        <v>251</v>
      </c>
      <c r="N1008" s="157"/>
      <c r="O1008" s="160" t="s">
        <v>383</v>
      </c>
      <c r="P1008" s="157" t="s">
        <v>252</v>
      </c>
      <c r="Q1008" s="162"/>
      <c r="R1008" s="157"/>
      <c r="S1008" s="157"/>
      <c r="T1008" s="157"/>
      <c r="U1008" s="157"/>
      <c r="V1008" s="157"/>
      <c r="W1008" s="157"/>
      <c r="X1008" s="165"/>
      <c r="Y1008" s="154"/>
      <c r="Z1008" s="147"/>
      <c r="AA1008" s="147"/>
      <c r="AB1008" s="148"/>
      <c r="AC1008" s="678"/>
      <c r="AD1008" s="679"/>
      <c r="AE1008" s="679"/>
      <c r="AF1008" s="680"/>
      <c r="AI1008" s="109" t="str">
        <f>"55:field164:" &amp; IF(I1008="■",1,IF(L1008="■",2,IF(O1008="■",3,0)))</f>
        <v>55:field164:0</v>
      </c>
    </row>
    <row r="1009" spans="1:36" s="109" customFormat="1" ht="18.75" customHeight="1" x14ac:dyDescent="0.2">
      <c r="A1009" s="139"/>
      <c r="B1009" s="123"/>
      <c r="C1009" s="248"/>
      <c r="D1009" s="249"/>
      <c r="E1009" s="128"/>
      <c r="F1009" s="142"/>
      <c r="G1009" s="128"/>
      <c r="H1009" s="239" t="s">
        <v>198</v>
      </c>
      <c r="I1009" s="150" t="s">
        <v>383</v>
      </c>
      <c r="J1009" s="169" t="s">
        <v>250</v>
      </c>
      <c r="K1009" s="179"/>
      <c r="L1009" s="203" t="s">
        <v>383</v>
      </c>
      <c r="M1009" s="169" t="s">
        <v>267</v>
      </c>
      <c r="N1009" s="158"/>
      <c r="O1009" s="158"/>
      <c r="P1009" s="158"/>
      <c r="Q1009" s="158"/>
      <c r="R1009" s="158"/>
      <c r="S1009" s="158"/>
      <c r="T1009" s="158"/>
      <c r="U1009" s="158"/>
      <c r="V1009" s="158"/>
      <c r="W1009" s="158"/>
      <c r="X1009" s="166"/>
      <c r="Y1009" s="154"/>
      <c r="Z1009" s="147"/>
      <c r="AA1009" s="147"/>
      <c r="AB1009" s="148"/>
      <c r="AC1009" s="678"/>
      <c r="AD1009" s="679"/>
      <c r="AE1009" s="679"/>
      <c r="AF1009" s="680"/>
      <c r="AI1009" s="109" t="str">
        <f>"55:field210:" &amp; IF(I1009="■",1,IF(L1009="■",2,0))</f>
        <v>55:field210:0</v>
      </c>
    </row>
    <row r="1010" spans="1:36" s="109" customFormat="1" ht="18.75" customHeight="1" x14ac:dyDescent="0.2">
      <c r="A1010" s="139"/>
      <c r="B1010" s="123"/>
      <c r="C1010" s="248"/>
      <c r="D1010" s="249"/>
      <c r="E1010" s="128"/>
      <c r="F1010" s="142"/>
      <c r="G1010" s="128"/>
      <c r="H1010" s="242" t="s">
        <v>225</v>
      </c>
      <c r="I1010" s="150" t="s">
        <v>383</v>
      </c>
      <c r="J1010" s="169" t="s">
        <v>250</v>
      </c>
      <c r="K1010" s="179"/>
      <c r="L1010" s="203" t="s">
        <v>383</v>
      </c>
      <c r="M1010" s="169" t="s">
        <v>267</v>
      </c>
      <c r="N1010" s="158"/>
      <c r="O1010" s="158"/>
      <c r="P1010" s="158"/>
      <c r="Q1010" s="158"/>
      <c r="R1010" s="158"/>
      <c r="S1010" s="158"/>
      <c r="T1010" s="158"/>
      <c r="U1010" s="158"/>
      <c r="V1010" s="158"/>
      <c r="W1010" s="158"/>
      <c r="X1010" s="166"/>
      <c r="Y1010" s="154"/>
      <c r="Z1010" s="147"/>
      <c r="AA1010" s="147"/>
      <c r="AB1010" s="148"/>
      <c r="AC1010" s="678"/>
      <c r="AD1010" s="679"/>
      <c r="AE1010" s="679"/>
      <c r="AF1010" s="680"/>
      <c r="AI1010" s="109" t="str">
        <f>"55:field211:" &amp; IF(I1010="■",1,IF(L1010="■",2,0))</f>
        <v>55:field211:0</v>
      </c>
    </row>
    <row r="1011" spans="1:36" s="109" customFormat="1" ht="18.75" customHeight="1" x14ac:dyDescent="0.2">
      <c r="A1011" s="139"/>
      <c r="B1011" s="123"/>
      <c r="C1011" s="248"/>
      <c r="D1011" s="249"/>
      <c r="E1011" s="128"/>
      <c r="F1011" s="142"/>
      <c r="G1011" s="128"/>
      <c r="H1011" s="242" t="s">
        <v>197</v>
      </c>
      <c r="I1011" s="150" t="s">
        <v>383</v>
      </c>
      <c r="J1011" s="169" t="s">
        <v>250</v>
      </c>
      <c r="K1011" s="179"/>
      <c r="L1011" s="203" t="s">
        <v>383</v>
      </c>
      <c r="M1011" s="169" t="s">
        <v>267</v>
      </c>
      <c r="N1011" s="158"/>
      <c r="O1011" s="158"/>
      <c r="P1011" s="158"/>
      <c r="Q1011" s="158"/>
      <c r="R1011" s="158"/>
      <c r="S1011" s="158"/>
      <c r="T1011" s="158"/>
      <c r="U1011" s="158"/>
      <c r="V1011" s="158"/>
      <c r="W1011" s="158"/>
      <c r="X1011" s="166"/>
      <c r="Y1011" s="154"/>
      <c r="Z1011" s="147"/>
      <c r="AA1011" s="147"/>
      <c r="AB1011" s="148"/>
      <c r="AC1011" s="678"/>
      <c r="AD1011" s="679"/>
      <c r="AE1011" s="679"/>
      <c r="AF1011" s="680"/>
      <c r="AI1011" s="109" t="str">
        <f>"55:field212:" &amp; IF(I1011="■",1,IF(L1011="■",2,0))</f>
        <v>55:field212:0</v>
      </c>
    </row>
    <row r="1012" spans="1:36" s="109" customFormat="1" ht="18.75" customHeight="1" x14ac:dyDescent="0.2">
      <c r="A1012" s="139"/>
      <c r="B1012" s="123"/>
      <c r="C1012" s="248"/>
      <c r="D1012" s="249"/>
      <c r="E1012" s="128"/>
      <c r="F1012" s="142"/>
      <c r="G1012" s="128"/>
      <c r="H1012" s="242" t="s">
        <v>206</v>
      </c>
      <c r="I1012" s="150" t="s">
        <v>383</v>
      </c>
      <c r="J1012" s="169" t="s">
        <v>250</v>
      </c>
      <c r="K1012" s="179"/>
      <c r="L1012" s="203" t="s">
        <v>383</v>
      </c>
      <c r="M1012" s="169" t="s">
        <v>267</v>
      </c>
      <c r="N1012" s="158"/>
      <c r="O1012" s="158"/>
      <c r="P1012" s="158"/>
      <c r="Q1012" s="158"/>
      <c r="R1012" s="158"/>
      <c r="S1012" s="158"/>
      <c r="T1012" s="158"/>
      <c r="U1012" s="158"/>
      <c r="V1012" s="158"/>
      <c r="W1012" s="158"/>
      <c r="X1012" s="166"/>
      <c r="Y1012" s="154"/>
      <c r="Z1012" s="147"/>
      <c r="AA1012" s="147"/>
      <c r="AB1012" s="148"/>
      <c r="AC1012" s="678"/>
      <c r="AD1012" s="679"/>
      <c r="AE1012" s="679"/>
      <c r="AF1012" s="680"/>
      <c r="AI1012" s="109" t="str">
        <f>"55:field209:" &amp; IF(I1012="■",1,IF(L1012="■",2,0))</f>
        <v>55:field209:0</v>
      </c>
    </row>
    <row r="1013" spans="1:36" s="109" customFormat="1" ht="18.75" customHeight="1" x14ac:dyDescent="0.2">
      <c r="A1013" s="139"/>
      <c r="B1013" s="123"/>
      <c r="C1013" s="248"/>
      <c r="D1013" s="249"/>
      <c r="E1013" s="128"/>
      <c r="F1013" s="142"/>
      <c r="G1013" s="128"/>
      <c r="H1013" s="242" t="s">
        <v>461</v>
      </c>
      <c r="I1013" s="156" t="s">
        <v>383</v>
      </c>
      <c r="J1013" s="157" t="s">
        <v>250</v>
      </c>
      <c r="K1013" s="157"/>
      <c r="L1013" s="160" t="s">
        <v>383</v>
      </c>
      <c r="M1013" s="169" t="s">
        <v>267</v>
      </c>
      <c r="N1013" s="157"/>
      <c r="O1013" s="157"/>
      <c r="P1013" s="157"/>
      <c r="Q1013" s="158"/>
      <c r="R1013" s="158"/>
      <c r="S1013" s="158"/>
      <c r="T1013" s="158"/>
      <c r="U1013" s="158"/>
      <c r="V1013" s="158"/>
      <c r="W1013" s="158"/>
      <c r="X1013" s="166"/>
      <c r="Y1013" s="154"/>
      <c r="Z1013" s="147"/>
      <c r="AA1013" s="147"/>
      <c r="AB1013" s="148"/>
      <c r="AC1013" s="678"/>
      <c r="AD1013" s="679"/>
      <c r="AE1013" s="679"/>
      <c r="AF1013" s="680"/>
      <c r="AI1013" s="109" t="str">
        <f>"55:field226:" &amp; IF(I1013="■",1,IF(L1013="■",2,0))</f>
        <v>55:field226:0</v>
      </c>
    </row>
    <row r="1014" spans="1:36" s="109" customFormat="1" ht="18.75" customHeight="1" x14ac:dyDescent="0.2">
      <c r="A1014" s="139"/>
      <c r="B1014" s="123"/>
      <c r="C1014" s="248"/>
      <c r="D1014" s="249"/>
      <c r="E1014" s="128"/>
      <c r="F1014" s="142"/>
      <c r="G1014" s="128"/>
      <c r="H1014" s="242" t="s">
        <v>462</v>
      </c>
      <c r="I1014" s="156" t="s">
        <v>383</v>
      </c>
      <c r="J1014" s="157" t="s">
        <v>250</v>
      </c>
      <c r="K1014" s="157"/>
      <c r="L1014" s="160" t="s">
        <v>383</v>
      </c>
      <c r="M1014" s="169" t="s">
        <v>267</v>
      </c>
      <c r="N1014" s="157"/>
      <c r="O1014" s="157"/>
      <c r="P1014" s="157"/>
      <c r="Q1014" s="158"/>
      <c r="R1014" s="158"/>
      <c r="S1014" s="158"/>
      <c r="T1014" s="158"/>
      <c r="U1014" s="158"/>
      <c r="V1014" s="158"/>
      <c r="W1014" s="158"/>
      <c r="X1014" s="166"/>
      <c r="Y1014" s="154"/>
      <c r="Z1014" s="147"/>
      <c r="AA1014" s="147"/>
      <c r="AB1014" s="148"/>
      <c r="AC1014" s="678"/>
      <c r="AD1014" s="679"/>
      <c r="AE1014" s="679"/>
      <c r="AF1014" s="680"/>
      <c r="AI1014" s="109" t="str">
        <f>"55:field227:" &amp; IF(I1014="■",1,IF(L1014="■",2,0))</f>
        <v>55:field227:0</v>
      </c>
    </row>
    <row r="1015" spans="1:36" s="109" customFormat="1" ht="18.75" customHeight="1" x14ac:dyDescent="0.2">
      <c r="A1015" s="139"/>
      <c r="B1015" s="123"/>
      <c r="C1015" s="248"/>
      <c r="D1015" s="249"/>
      <c r="E1015" s="128"/>
      <c r="F1015" s="142"/>
      <c r="G1015" s="128"/>
      <c r="H1015" s="250" t="s">
        <v>442</v>
      </c>
      <c r="I1015" s="156" t="s">
        <v>383</v>
      </c>
      <c r="J1015" s="157" t="s">
        <v>250</v>
      </c>
      <c r="K1015" s="157"/>
      <c r="L1015" s="160" t="s">
        <v>383</v>
      </c>
      <c r="M1015" s="157" t="s">
        <v>251</v>
      </c>
      <c r="N1015" s="157"/>
      <c r="O1015" s="160" t="s">
        <v>383</v>
      </c>
      <c r="P1015" s="157" t="s">
        <v>252</v>
      </c>
      <c r="Q1015" s="162"/>
      <c r="R1015" s="162"/>
      <c r="S1015" s="162"/>
      <c r="T1015" s="162"/>
      <c r="U1015" s="251"/>
      <c r="V1015" s="251"/>
      <c r="W1015" s="251"/>
      <c r="X1015" s="252"/>
      <c r="Y1015" s="154"/>
      <c r="Z1015" s="147"/>
      <c r="AA1015" s="147"/>
      <c r="AB1015" s="148"/>
      <c r="AC1015" s="678"/>
      <c r="AD1015" s="679"/>
      <c r="AE1015" s="679"/>
      <c r="AF1015" s="680"/>
      <c r="AI1015" s="109" t="str">
        <f>"55:field225:" &amp; IF(I1015="■",1,IF(L1015="■",2,IF(O1015="■",3,0)))</f>
        <v>55:field225:0</v>
      </c>
    </row>
    <row r="1016" spans="1:36" s="109" customFormat="1" ht="18.75" customHeight="1" x14ac:dyDescent="0.2">
      <c r="A1016" s="139"/>
      <c r="B1016" s="123"/>
      <c r="C1016" s="248"/>
      <c r="D1016" s="249"/>
      <c r="E1016" s="128"/>
      <c r="F1016" s="142"/>
      <c r="G1016" s="128"/>
      <c r="H1016" s="242" t="s">
        <v>118</v>
      </c>
      <c r="I1016" s="156" t="s">
        <v>383</v>
      </c>
      <c r="J1016" s="157" t="s">
        <v>250</v>
      </c>
      <c r="K1016" s="157"/>
      <c r="L1016" s="160" t="s">
        <v>383</v>
      </c>
      <c r="M1016" s="157" t="s">
        <v>258</v>
      </c>
      <c r="N1016" s="157"/>
      <c r="O1016" s="160" t="s">
        <v>383</v>
      </c>
      <c r="P1016" s="157" t="s">
        <v>259</v>
      </c>
      <c r="Q1016" s="207"/>
      <c r="R1016" s="160" t="s">
        <v>383</v>
      </c>
      <c r="S1016" s="157" t="s">
        <v>283</v>
      </c>
      <c r="T1016" s="157"/>
      <c r="U1016" s="157"/>
      <c r="V1016" s="157"/>
      <c r="W1016" s="157"/>
      <c r="X1016" s="165"/>
      <c r="Y1016" s="154"/>
      <c r="Z1016" s="147"/>
      <c r="AA1016" s="147"/>
      <c r="AB1016" s="148"/>
      <c r="AC1016" s="678"/>
      <c r="AD1016" s="679"/>
      <c r="AE1016" s="679"/>
      <c r="AF1016" s="680"/>
      <c r="AI1016" s="109" t="str">
        <f>"55:serteikyo_kyoka_code:" &amp; IF(I1016="■",1,IF(L1016="■",6,IF(O1016="■",5,IF(R1016="■",7,0))))</f>
        <v>55:serteikyo_kyoka_code:0</v>
      </c>
    </row>
    <row r="1017" spans="1:36" s="621" customFormat="1" ht="18.75" customHeight="1" x14ac:dyDescent="0.2">
      <c r="A1017" s="139"/>
      <c r="B1017" s="670"/>
      <c r="C1017" s="248"/>
      <c r="D1017" s="249"/>
      <c r="E1017" s="128"/>
      <c r="F1017" s="142"/>
      <c r="G1017" s="143"/>
      <c r="H1017" s="713" t="s">
        <v>790</v>
      </c>
      <c r="I1017" s="642" t="s">
        <v>383</v>
      </c>
      <c r="J1017" s="616" t="s">
        <v>627</v>
      </c>
      <c r="K1017" s="616"/>
      <c r="L1017" s="615"/>
      <c r="M1017" s="644" t="s">
        <v>383</v>
      </c>
      <c r="N1017" s="616" t="s">
        <v>791</v>
      </c>
      <c r="O1017" s="617"/>
      <c r="P1017" s="615"/>
      <c r="Q1017" s="644" t="s">
        <v>383</v>
      </c>
      <c r="R1017" s="618" t="s">
        <v>802</v>
      </c>
      <c r="S1017" s="615"/>
      <c r="T1017" s="615"/>
      <c r="U1017" s="615"/>
      <c r="V1017" s="618"/>
      <c r="W1017" s="619"/>
      <c r="X1017" s="620"/>
      <c r="Y1017" s="154"/>
      <c r="Z1017" s="147"/>
      <c r="AA1017" s="147"/>
      <c r="AB1017" s="148"/>
      <c r="AC1017" s="678"/>
      <c r="AD1017" s="679"/>
      <c r="AE1017" s="679"/>
      <c r="AF1017" s="680"/>
    </row>
    <row r="1018" spans="1:36" s="621" customFormat="1" ht="18.75" customHeight="1" x14ac:dyDescent="0.2">
      <c r="A1018" s="139"/>
      <c r="B1018" s="670"/>
      <c r="C1018" s="248"/>
      <c r="D1018" s="249"/>
      <c r="E1018" s="128"/>
      <c r="F1018" s="142"/>
      <c r="G1018" s="143"/>
      <c r="H1018" s="714"/>
      <c r="I1018" s="643" t="s">
        <v>383</v>
      </c>
      <c r="J1018" s="623" t="s">
        <v>803</v>
      </c>
      <c r="K1018" s="623"/>
      <c r="L1018" s="622"/>
      <c r="M1018" s="211" t="s">
        <v>383</v>
      </c>
      <c r="N1018" s="623" t="s">
        <v>804</v>
      </c>
      <c r="O1018" s="624"/>
      <c r="P1018" s="622"/>
      <c r="Q1018" s="211" t="s">
        <v>383</v>
      </c>
      <c r="R1018" s="623" t="s">
        <v>795</v>
      </c>
      <c r="S1018" s="622"/>
      <c r="T1018" s="623"/>
      <c r="U1018" s="211" t="s">
        <v>383</v>
      </c>
      <c r="V1018" s="623" t="s">
        <v>796</v>
      </c>
      <c r="W1018" s="625"/>
      <c r="X1018" s="626"/>
      <c r="Y1018" s="154"/>
      <c r="Z1018" s="147"/>
      <c r="AA1018" s="147"/>
      <c r="AB1018" s="148"/>
      <c r="AC1018" s="678"/>
      <c r="AD1018" s="679"/>
      <c r="AE1018" s="679"/>
      <c r="AF1018" s="680"/>
    </row>
    <row r="1019" spans="1:36" s="109" customFormat="1" ht="18.75" customHeight="1" x14ac:dyDescent="0.2">
      <c r="A1019" s="129"/>
      <c r="B1019" s="116"/>
      <c r="C1019" s="272"/>
      <c r="D1019" s="273"/>
      <c r="E1019" s="121"/>
      <c r="F1019" s="132"/>
      <c r="G1019" s="121"/>
      <c r="H1019" s="778" t="s">
        <v>97</v>
      </c>
      <c r="I1019" s="447" t="s">
        <v>383</v>
      </c>
      <c r="J1019" s="448" t="s">
        <v>300</v>
      </c>
      <c r="K1019" s="449"/>
      <c r="L1019" s="451"/>
      <c r="M1019" s="450" t="s">
        <v>383</v>
      </c>
      <c r="N1019" s="448" t="s">
        <v>328</v>
      </c>
      <c r="O1019" s="451"/>
      <c r="P1019" s="451"/>
      <c r="Q1019" s="450" t="s">
        <v>383</v>
      </c>
      <c r="R1019" s="448" t="s">
        <v>329</v>
      </c>
      <c r="S1019" s="451"/>
      <c r="T1019" s="451"/>
      <c r="U1019" s="450" t="s">
        <v>383</v>
      </c>
      <c r="V1019" s="448" t="s">
        <v>330</v>
      </c>
      <c r="W1019" s="451"/>
      <c r="X1019" s="452"/>
      <c r="Y1019" s="138" t="s">
        <v>383</v>
      </c>
      <c r="Z1019" s="119" t="s">
        <v>249</v>
      </c>
      <c r="AA1019" s="119"/>
      <c r="AB1019" s="137"/>
      <c r="AC1019" s="675"/>
      <c r="AD1019" s="676"/>
      <c r="AE1019" s="676"/>
      <c r="AF1019" s="677"/>
      <c r="AG1019" s="109" t="str">
        <f>"ser_code = '" &amp; IF(A1036="■",55,"") &amp; "'"</f>
        <v>ser_code = ''</v>
      </c>
      <c r="AI1019" s="109" t="str">
        <f>"55:yakan_kinmu_code:" &amp; IF(I1019="■",1,IF(M1019="■",2,IF(Q1019="■",3,IF(U1019="■",7,IF(I1020="■",5,IF(M1020="■",6,0))))))</f>
        <v>55:yakan_kinmu_code:0</v>
      </c>
      <c r="AJ1019" s="109" t="str">
        <f>"55:field203:" &amp; IF(Y1019="■",1,IF(Y1020="■",2,0))</f>
        <v>55:field203:0</v>
      </c>
    </row>
    <row r="1020" spans="1:36" s="109" customFormat="1" ht="18.75" customHeight="1" x14ac:dyDescent="0.2">
      <c r="A1020" s="139"/>
      <c r="B1020" s="123"/>
      <c r="C1020" s="248"/>
      <c r="D1020" s="249"/>
      <c r="E1020" s="128"/>
      <c r="F1020" s="142"/>
      <c r="G1020" s="128"/>
      <c r="H1020" s="769"/>
      <c r="I1020" s="400" t="s">
        <v>383</v>
      </c>
      <c r="J1020" s="401" t="s">
        <v>331</v>
      </c>
      <c r="K1020" s="453"/>
      <c r="L1020" s="403"/>
      <c r="M1020" s="402" t="s">
        <v>383</v>
      </c>
      <c r="N1020" s="401" t="s">
        <v>301</v>
      </c>
      <c r="O1020" s="403"/>
      <c r="P1020" s="403"/>
      <c r="Q1020" s="403"/>
      <c r="R1020" s="403"/>
      <c r="S1020" s="403"/>
      <c r="T1020" s="403"/>
      <c r="U1020" s="403"/>
      <c r="V1020" s="403"/>
      <c r="W1020" s="403"/>
      <c r="X1020" s="404"/>
      <c r="Y1020" s="125" t="s">
        <v>383</v>
      </c>
      <c r="Z1020" s="126" t="s">
        <v>255</v>
      </c>
      <c r="AA1020" s="147"/>
      <c r="AB1020" s="148"/>
      <c r="AC1020" s="678"/>
      <c r="AD1020" s="679"/>
      <c r="AE1020" s="679"/>
      <c r="AF1020" s="680"/>
      <c r="AG1020" s="109" t="str">
        <f>"55:sisetukbn_code:" &amp; IF(D1036="■",5,0)</f>
        <v>55:sisetukbn_code:0</v>
      </c>
    </row>
    <row r="1021" spans="1:36" s="109" customFormat="1" ht="18.75" customHeight="1" x14ac:dyDescent="0.2">
      <c r="A1021" s="139"/>
      <c r="B1021" s="123"/>
      <c r="C1021" s="248"/>
      <c r="D1021" s="249"/>
      <c r="E1021" s="128"/>
      <c r="F1021" s="142"/>
      <c r="G1021" s="128"/>
      <c r="H1021" s="767" t="s">
        <v>93</v>
      </c>
      <c r="I1021" s="394" t="s">
        <v>383</v>
      </c>
      <c r="J1021" s="395" t="s">
        <v>250</v>
      </c>
      <c r="K1021" s="395"/>
      <c r="L1021" s="398"/>
      <c r="M1021" s="397" t="s">
        <v>383</v>
      </c>
      <c r="N1021" s="395" t="s">
        <v>289</v>
      </c>
      <c r="O1021" s="395"/>
      <c r="P1021" s="398"/>
      <c r="Q1021" s="397" t="s">
        <v>383</v>
      </c>
      <c r="R1021" s="398" t="s">
        <v>372</v>
      </c>
      <c r="S1021" s="398"/>
      <c r="T1021" s="398"/>
      <c r="U1021" s="397" t="s">
        <v>383</v>
      </c>
      <c r="V1021" s="398" t="s">
        <v>373</v>
      </c>
      <c r="W1021" s="424"/>
      <c r="X1021" s="425"/>
      <c r="Y1021" s="154"/>
      <c r="Z1021" s="147"/>
      <c r="AA1021" s="147"/>
      <c r="AB1021" s="148"/>
      <c r="AC1021" s="678"/>
      <c r="AD1021" s="679"/>
      <c r="AE1021" s="679"/>
      <c r="AF1021" s="680"/>
      <c r="AI1021" s="109" t="str">
        <f>"55:"&amp;IF(AND(I1021="□",M1021="□",Q1021="□",U1021="□",I1022="□",M1022="□"),"ketu_doctor_code:0",IF(I1021="■","ketu_doctor_code:1:field197:1:ketu_kangos_code:1:ketu_kshoku_code:1:ketu_ksiensou_code:1",IF(M1021="■","ketu_doctor_code:2","ketu_doctor_code:1")
&amp;IF(Q1021="■",":field197:2",":field197:1")
&amp;IF(U1021="■",":ketu_kangos_code:2",":ketu_kangos_code:1")
&amp;IF(I1022="■",":ketu_kshoku_code:2",":ketu_kshoku_code:1")
&amp;IF(M1022="■",":ketu_ksiensou_code:2",":ketu_ksiensou_code:1")))</f>
        <v>55:ketu_doctor_code:0</v>
      </c>
    </row>
    <row r="1022" spans="1:36" s="109" customFormat="1" ht="18.75" customHeight="1" x14ac:dyDescent="0.2">
      <c r="A1022" s="139"/>
      <c r="B1022" s="123"/>
      <c r="C1022" s="248"/>
      <c r="D1022" s="249"/>
      <c r="E1022" s="128"/>
      <c r="F1022" s="142"/>
      <c r="G1022" s="128"/>
      <c r="H1022" s="769"/>
      <c r="I1022" s="400" t="s">
        <v>383</v>
      </c>
      <c r="J1022" s="403" t="s">
        <v>374</v>
      </c>
      <c r="K1022" s="401"/>
      <c r="L1022" s="403"/>
      <c r="M1022" s="402" t="s">
        <v>383</v>
      </c>
      <c r="N1022" s="401" t="s">
        <v>422</v>
      </c>
      <c r="O1022" s="401"/>
      <c r="P1022" s="403"/>
      <c r="Q1022" s="403"/>
      <c r="R1022" s="403"/>
      <c r="S1022" s="403"/>
      <c r="T1022" s="403"/>
      <c r="U1022" s="403"/>
      <c r="V1022" s="403"/>
      <c r="W1022" s="426"/>
      <c r="X1022" s="427"/>
      <c r="Y1022" s="154"/>
      <c r="Z1022" s="147"/>
      <c r="AA1022" s="147"/>
      <c r="AB1022" s="148"/>
      <c r="AC1022" s="678"/>
      <c r="AD1022" s="679"/>
      <c r="AE1022" s="679"/>
      <c r="AF1022" s="680"/>
    </row>
    <row r="1023" spans="1:36" s="109" customFormat="1" ht="18.75" customHeight="1" x14ac:dyDescent="0.2">
      <c r="A1023" s="139"/>
      <c r="B1023" s="123"/>
      <c r="C1023" s="248"/>
      <c r="D1023" s="249"/>
      <c r="E1023" s="128"/>
      <c r="F1023" s="142"/>
      <c r="G1023" s="128"/>
      <c r="H1023" s="405" t="s">
        <v>98</v>
      </c>
      <c r="I1023" s="406" t="s">
        <v>383</v>
      </c>
      <c r="J1023" s="345" t="s">
        <v>265</v>
      </c>
      <c r="K1023" s="362"/>
      <c r="L1023" s="407"/>
      <c r="M1023" s="408" t="s">
        <v>383</v>
      </c>
      <c r="N1023" s="345" t="s">
        <v>266</v>
      </c>
      <c r="O1023" s="362"/>
      <c r="P1023" s="362"/>
      <c r="Q1023" s="430"/>
      <c r="R1023" s="430"/>
      <c r="S1023" s="430"/>
      <c r="T1023" s="430"/>
      <c r="U1023" s="430"/>
      <c r="V1023" s="430"/>
      <c r="W1023" s="430"/>
      <c r="X1023" s="431"/>
      <c r="Y1023" s="154"/>
      <c r="Z1023" s="147"/>
      <c r="AA1023" s="147"/>
      <c r="AB1023" s="148"/>
      <c r="AC1023" s="678"/>
      <c r="AD1023" s="679"/>
      <c r="AE1023" s="679"/>
      <c r="AF1023" s="680"/>
      <c r="AI1023" s="109" t="str">
        <f>"55:unitcare_code:" &amp; IF(I1023="■",1,IF(M1023="■",2,0))</f>
        <v>55:unitcare_code:0</v>
      </c>
    </row>
    <row r="1024" spans="1:36" s="109" customFormat="1" ht="18.75" customHeight="1" x14ac:dyDescent="0.2">
      <c r="A1024" s="139"/>
      <c r="B1024" s="123"/>
      <c r="C1024" s="248"/>
      <c r="D1024" s="249"/>
      <c r="E1024" s="128"/>
      <c r="F1024" s="142"/>
      <c r="G1024" s="128"/>
      <c r="H1024" s="405" t="s">
        <v>107</v>
      </c>
      <c r="I1024" s="406" t="s">
        <v>383</v>
      </c>
      <c r="J1024" s="345" t="s">
        <v>395</v>
      </c>
      <c r="K1024" s="362"/>
      <c r="L1024" s="407"/>
      <c r="M1024" s="408" t="s">
        <v>383</v>
      </c>
      <c r="N1024" s="345" t="s">
        <v>396</v>
      </c>
      <c r="O1024" s="346"/>
      <c r="P1024" s="362"/>
      <c r="Q1024" s="430"/>
      <c r="R1024" s="430"/>
      <c r="S1024" s="430"/>
      <c r="T1024" s="430"/>
      <c r="U1024" s="430"/>
      <c r="V1024" s="430"/>
      <c r="W1024" s="430"/>
      <c r="X1024" s="431"/>
      <c r="Y1024" s="154"/>
      <c r="Z1024" s="147"/>
      <c r="AA1024" s="147"/>
      <c r="AB1024" s="148"/>
      <c r="AC1024" s="678"/>
      <c r="AD1024" s="679"/>
      <c r="AE1024" s="679"/>
      <c r="AF1024" s="680"/>
      <c r="AI1024" s="109" t="str">
        <f>"55:sintaikousoku_code:" &amp; IF(I1024="■",1,IF(M1024="■",2,0))</f>
        <v>55:sintaikousoku_code:0</v>
      </c>
    </row>
    <row r="1025" spans="1:35" s="109" customFormat="1" ht="18.75" customHeight="1" x14ac:dyDescent="0.2">
      <c r="A1025" s="139"/>
      <c r="B1025" s="123"/>
      <c r="C1025" s="248"/>
      <c r="D1025" s="249"/>
      <c r="E1025" s="128"/>
      <c r="F1025" s="142"/>
      <c r="G1025" s="128"/>
      <c r="H1025" s="405" t="s">
        <v>200</v>
      </c>
      <c r="I1025" s="406" t="s">
        <v>383</v>
      </c>
      <c r="J1025" s="345" t="s">
        <v>395</v>
      </c>
      <c r="K1025" s="362"/>
      <c r="L1025" s="407"/>
      <c r="M1025" s="408" t="s">
        <v>383</v>
      </c>
      <c r="N1025" s="345" t="s">
        <v>396</v>
      </c>
      <c r="O1025" s="346"/>
      <c r="P1025" s="362"/>
      <c r="Q1025" s="346"/>
      <c r="R1025" s="346"/>
      <c r="S1025" s="346"/>
      <c r="T1025" s="346"/>
      <c r="U1025" s="346"/>
      <c r="V1025" s="346"/>
      <c r="W1025" s="346"/>
      <c r="X1025" s="347"/>
      <c r="Y1025" s="154"/>
      <c r="Z1025" s="147"/>
      <c r="AA1025" s="147"/>
      <c r="AB1025" s="148"/>
      <c r="AC1025" s="678"/>
      <c r="AD1025" s="679"/>
      <c r="AE1025" s="679"/>
      <c r="AF1025" s="680"/>
      <c r="AI1025" s="109" t="str">
        <f>"55:field208:" &amp; IF(I1025="■",1,IF(M1025="■",2,0))</f>
        <v>55:field208:0</v>
      </c>
    </row>
    <row r="1026" spans="1:35" s="109" customFormat="1" ht="19.5" customHeight="1" x14ac:dyDescent="0.2">
      <c r="A1026" s="139"/>
      <c r="B1026" s="123"/>
      <c r="C1026" s="140"/>
      <c r="D1026" s="141"/>
      <c r="E1026" s="128"/>
      <c r="F1026" s="142"/>
      <c r="G1026" s="143"/>
      <c r="H1026" s="422" t="s">
        <v>430</v>
      </c>
      <c r="I1026" s="406" t="s">
        <v>383</v>
      </c>
      <c r="J1026" s="345" t="s">
        <v>395</v>
      </c>
      <c r="K1026" s="362"/>
      <c r="L1026" s="407"/>
      <c r="M1026" s="408" t="s">
        <v>383</v>
      </c>
      <c r="N1026" s="345" t="s">
        <v>431</v>
      </c>
      <c r="O1026" s="344"/>
      <c r="P1026" s="345"/>
      <c r="Q1026" s="346"/>
      <c r="R1026" s="346"/>
      <c r="S1026" s="346"/>
      <c r="T1026" s="346"/>
      <c r="U1026" s="346"/>
      <c r="V1026" s="346"/>
      <c r="W1026" s="346"/>
      <c r="X1026" s="347"/>
      <c r="Y1026" s="147"/>
      <c r="Z1026" s="147"/>
      <c r="AA1026" s="147"/>
      <c r="AB1026" s="148"/>
      <c r="AC1026" s="678"/>
      <c r="AD1026" s="679"/>
      <c r="AE1026" s="679"/>
      <c r="AF1026" s="680"/>
      <c r="AI1026" s="109" t="str">
        <f>"55:field223:" &amp; IF(I1026="■",1,IF(M1026="■",2,0))</f>
        <v>55:field223:0</v>
      </c>
    </row>
    <row r="1027" spans="1:35" s="109" customFormat="1" ht="19.5" customHeight="1" x14ac:dyDescent="0.2">
      <c r="A1027" s="139"/>
      <c r="B1027" s="123"/>
      <c r="C1027" s="140"/>
      <c r="D1027" s="141"/>
      <c r="E1027" s="128"/>
      <c r="F1027" s="142"/>
      <c r="G1027" s="143"/>
      <c r="H1027" s="422" t="s">
        <v>448</v>
      </c>
      <c r="I1027" s="406" t="s">
        <v>383</v>
      </c>
      <c r="J1027" s="345" t="s">
        <v>395</v>
      </c>
      <c r="K1027" s="362"/>
      <c r="L1027" s="407"/>
      <c r="M1027" s="408" t="s">
        <v>383</v>
      </c>
      <c r="N1027" s="345" t="s">
        <v>431</v>
      </c>
      <c r="O1027" s="344"/>
      <c r="P1027" s="345"/>
      <c r="Q1027" s="346"/>
      <c r="R1027" s="346"/>
      <c r="S1027" s="346"/>
      <c r="T1027" s="346"/>
      <c r="U1027" s="346"/>
      <c r="V1027" s="346"/>
      <c r="W1027" s="346"/>
      <c r="X1027" s="347"/>
      <c r="Y1027" s="147"/>
      <c r="Z1027" s="147"/>
      <c r="AA1027" s="147"/>
      <c r="AB1027" s="148"/>
      <c r="AC1027" s="678"/>
      <c r="AD1027" s="679"/>
      <c r="AE1027" s="679"/>
      <c r="AF1027" s="680"/>
      <c r="AI1027" s="109" t="str">
        <f>"55:field232:" &amp; IF(I1027="■",1,IF(M1027="■",2,0))</f>
        <v>55:field232:0</v>
      </c>
    </row>
    <row r="1028" spans="1:35" s="109" customFormat="1" ht="18.75" customHeight="1" x14ac:dyDescent="0.2">
      <c r="A1028" s="139"/>
      <c r="B1028" s="123"/>
      <c r="C1028" s="248"/>
      <c r="D1028" s="249"/>
      <c r="E1028" s="128"/>
      <c r="F1028" s="142"/>
      <c r="G1028" s="128"/>
      <c r="H1028" s="770" t="s">
        <v>202</v>
      </c>
      <c r="I1028" s="772" t="s">
        <v>383</v>
      </c>
      <c r="J1028" s="774" t="s">
        <v>250</v>
      </c>
      <c r="K1028" s="774"/>
      <c r="L1028" s="776" t="s">
        <v>383</v>
      </c>
      <c r="M1028" s="774" t="s">
        <v>267</v>
      </c>
      <c r="N1028" s="774"/>
      <c r="O1028" s="398"/>
      <c r="P1028" s="398"/>
      <c r="Q1028" s="398"/>
      <c r="R1028" s="398"/>
      <c r="S1028" s="398"/>
      <c r="T1028" s="398"/>
      <c r="U1028" s="398"/>
      <c r="V1028" s="398"/>
      <c r="W1028" s="398"/>
      <c r="X1028" s="399"/>
      <c r="Y1028" s="154"/>
      <c r="Z1028" s="147"/>
      <c r="AA1028" s="147"/>
      <c r="AB1028" s="148"/>
      <c r="AC1028" s="678"/>
      <c r="AD1028" s="679"/>
      <c r="AE1028" s="679"/>
      <c r="AF1028" s="680"/>
      <c r="AI1028" s="109" t="str">
        <f>"55:field206:" &amp; IF(I1028="■",1,IF(L1028="■",2,0))</f>
        <v>55:field206:0</v>
      </c>
    </row>
    <row r="1029" spans="1:35" s="109" customFormat="1" ht="18.75" customHeight="1" x14ac:dyDescent="0.2">
      <c r="A1029" s="139"/>
      <c r="B1029" s="123"/>
      <c r="C1029" s="248"/>
      <c r="D1029" s="249"/>
      <c r="E1029" s="128"/>
      <c r="F1029" s="142"/>
      <c r="G1029" s="128"/>
      <c r="H1029" s="771"/>
      <c r="I1029" s="773"/>
      <c r="J1029" s="775"/>
      <c r="K1029" s="775"/>
      <c r="L1029" s="777"/>
      <c r="M1029" s="775"/>
      <c r="N1029" s="775"/>
      <c r="O1029" s="403"/>
      <c r="P1029" s="403"/>
      <c r="Q1029" s="403"/>
      <c r="R1029" s="403"/>
      <c r="S1029" s="403"/>
      <c r="T1029" s="403"/>
      <c r="U1029" s="403"/>
      <c r="V1029" s="403"/>
      <c r="W1029" s="403"/>
      <c r="X1029" s="404"/>
      <c r="Y1029" s="154"/>
      <c r="Z1029" s="147"/>
      <c r="AA1029" s="147"/>
      <c r="AB1029" s="148"/>
      <c r="AC1029" s="678"/>
      <c r="AD1029" s="679"/>
      <c r="AE1029" s="679"/>
      <c r="AF1029" s="680"/>
    </row>
    <row r="1030" spans="1:35" s="109" customFormat="1" ht="18.75" customHeight="1" x14ac:dyDescent="0.2">
      <c r="A1030" s="139"/>
      <c r="B1030" s="123"/>
      <c r="C1030" s="248"/>
      <c r="D1030" s="249"/>
      <c r="E1030" s="128"/>
      <c r="F1030" s="142"/>
      <c r="G1030" s="128"/>
      <c r="H1030" s="405" t="s">
        <v>164</v>
      </c>
      <c r="I1030" s="406" t="s">
        <v>383</v>
      </c>
      <c r="J1030" s="345" t="s">
        <v>420</v>
      </c>
      <c r="K1030" s="362"/>
      <c r="L1030" s="407"/>
      <c r="M1030" s="408" t="s">
        <v>383</v>
      </c>
      <c r="N1030" s="345" t="s">
        <v>332</v>
      </c>
      <c r="O1030" s="346"/>
      <c r="P1030" s="430"/>
      <c r="Q1030" s="430"/>
      <c r="R1030" s="430"/>
      <c r="S1030" s="430"/>
      <c r="T1030" s="430"/>
      <c r="U1030" s="430"/>
      <c r="V1030" s="430"/>
      <c r="W1030" s="430"/>
      <c r="X1030" s="431"/>
      <c r="Y1030" s="154"/>
      <c r="Z1030" s="147"/>
      <c r="AA1030" s="147"/>
      <c r="AB1030" s="148"/>
      <c r="AC1030" s="678"/>
      <c r="AD1030" s="679"/>
      <c r="AE1030" s="679"/>
      <c r="AF1030" s="680"/>
      <c r="AI1030" s="109" t="str">
        <f>"55:field190:" &amp; IF(I1030="■",1,IF(M1030="■",2,0))</f>
        <v>55:field190:0</v>
      </c>
    </row>
    <row r="1031" spans="1:35" s="109" customFormat="1" ht="18.75" customHeight="1" x14ac:dyDescent="0.2">
      <c r="A1031" s="139"/>
      <c r="B1031" s="123"/>
      <c r="C1031" s="248"/>
      <c r="D1031" s="249"/>
      <c r="E1031" s="128"/>
      <c r="F1031" s="142"/>
      <c r="G1031" s="128"/>
      <c r="H1031" s="405" t="s">
        <v>165</v>
      </c>
      <c r="I1031" s="406" t="s">
        <v>383</v>
      </c>
      <c r="J1031" s="345" t="s">
        <v>420</v>
      </c>
      <c r="K1031" s="362"/>
      <c r="L1031" s="407"/>
      <c r="M1031" s="408" t="s">
        <v>383</v>
      </c>
      <c r="N1031" s="345" t="s">
        <v>332</v>
      </c>
      <c r="O1031" s="346"/>
      <c r="P1031" s="430"/>
      <c r="Q1031" s="430"/>
      <c r="R1031" s="430"/>
      <c r="S1031" s="430"/>
      <c r="T1031" s="430"/>
      <c r="U1031" s="430"/>
      <c r="V1031" s="430"/>
      <c r="W1031" s="430"/>
      <c r="X1031" s="431"/>
      <c r="Y1031" s="154"/>
      <c r="Z1031" s="147"/>
      <c r="AA1031" s="147"/>
      <c r="AB1031" s="148"/>
      <c r="AC1031" s="678"/>
      <c r="AD1031" s="679"/>
      <c r="AE1031" s="679"/>
      <c r="AF1031" s="680"/>
      <c r="AI1031" s="109" t="str">
        <f>"55:field191:" &amp; IF(I1031="■",1,IF(M1031="■",2,0))</f>
        <v>55:field191:0</v>
      </c>
    </row>
    <row r="1032" spans="1:35" s="109" customFormat="1" ht="18.75" customHeight="1" x14ac:dyDescent="0.2">
      <c r="A1032" s="139"/>
      <c r="B1032" s="123"/>
      <c r="C1032" s="248"/>
      <c r="D1032" s="249"/>
      <c r="E1032" s="128"/>
      <c r="F1032" s="142"/>
      <c r="G1032" s="128"/>
      <c r="H1032" s="405" t="s">
        <v>122</v>
      </c>
      <c r="I1032" s="400" t="s">
        <v>383</v>
      </c>
      <c r="J1032" s="401" t="s">
        <v>250</v>
      </c>
      <c r="K1032" s="453"/>
      <c r="L1032" s="402" t="s">
        <v>383</v>
      </c>
      <c r="M1032" s="401" t="s">
        <v>267</v>
      </c>
      <c r="N1032" s="362"/>
      <c r="O1032" s="430"/>
      <c r="P1032" s="430"/>
      <c r="Q1032" s="430"/>
      <c r="R1032" s="430"/>
      <c r="S1032" s="430"/>
      <c r="T1032" s="430"/>
      <c r="U1032" s="430"/>
      <c r="V1032" s="430"/>
      <c r="W1032" s="430"/>
      <c r="X1032" s="431"/>
      <c r="Y1032" s="154"/>
      <c r="Z1032" s="147"/>
      <c r="AA1032" s="147"/>
      <c r="AB1032" s="148"/>
      <c r="AC1032" s="678"/>
      <c r="AD1032" s="679"/>
      <c r="AE1032" s="679"/>
      <c r="AF1032" s="680"/>
      <c r="AI1032" s="109" t="str">
        <f>"55:jyakuninti_uke_code:" &amp; IF(I1032="■",1,IF(L1032="■",2,0))</f>
        <v>55:jyakuninti_uke_code:0</v>
      </c>
    </row>
    <row r="1033" spans="1:35" s="109" customFormat="1" ht="18.75" customHeight="1" x14ac:dyDescent="0.2">
      <c r="A1033" s="139"/>
      <c r="B1033" s="123"/>
      <c r="C1033" s="248"/>
      <c r="D1033" s="249"/>
      <c r="E1033" s="128"/>
      <c r="F1033" s="142"/>
      <c r="G1033" s="128"/>
      <c r="H1033" s="405" t="s">
        <v>199</v>
      </c>
      <c r="I1033" s="400" t="s">
        <v>383</v>
      </c>
      <c r="J1033" s="401" t="s">
        <v>250</v>
      </c>
      <c r="K1033" s="453"/>
      <c r="L1033" s="402" t="s">
        <v>383</v>
      </c>
      <c r="M1033" s="401" t="s">
        <v>267</v>
      </c>
      <c r="N1033" s="362"/>
      <c r="O1033" s="430"/>
      <c r="P1033" s="430"/>
      <c r="Q1033" s="430"/>
      <c r="R1033" s="430"/>
      <c r="S1033" s="430"/>
      <c r="T1033" s="430"/>
      <c r="U1033" s="430"/>
      <c r="V1033" s="430"/>
      <c r="W1033" s="430"/>
      <c r="X1033" s="431"/>
      <c r="Y1033" s="154"/>
      <c r="Z1033" s="147"/>
      <c r="AA1033" s="147"/>
      <c r="AB1033" s="148"/>
      <c r="AC1033" s="678"/>
      <c r="AD1033" s="679"/>
      <c r="AE1033" s="679"/>
      <c r="AF1033" s="680"/>
      <c r="AI1033" s="109" t="str">
        <f>"55:field207:" &amp; IF(I1033="■",1,IF(L1033="■",2,0))</f>
        <v>55:field207:0</v>
      </c>
    </row>
    <row r="1034" spans="1:35" s="109" customFormat="1" ht="18.75" customHeight="1" x14ac:dyDescent="0.2">
      <c r="A1034" s="139"/>
      <c r="B1034" s="123"/>
      <c r="C1034" s="248"/>
      <c r="D1034" s="249"/>
      <c r="E1034" s="128"/>
      <c r="F1034" s="142"/>
      <c r="G1034" s="128"/>
      <c r="H1034" s="405" t="s">
        <v>112</v>
      </c>
      <c r="I1034" s="400" t="s">
        <v>383</v>
      </c>
      <c r="J1034" s="401" t="s">
        <v>250</v>
      </c>
      <c r="K1034" s="453"/>
      <c r="L1034" s="402" t="s">
        <v>383</v>
      </c>
      <c r="M1034" s="401" t="s">
        <v>267</v>
      </c>
      <c r="N1034" s="362"/>
      <c r="O1034" s="430"/>
      <c r="P1034" s="430"/>
      <c r="Q1034" s="430"/>
      <c r="R1034" s="430"/>
      <c r="S1034" s="430"/>
      <c r="T1034" s="430"/>
      <c r="U1034" s="430"/>
      <c r="V1034" s="430"/>
      <c r="W1034" s="430"/>
      <c r="X1034" s="431"/>
      <c r="Y1034" s="154"/>
      <c r="Z1034" s="147"/>
      <c r="AA1034" s="147"/>
      <c r="AB1034" s="148"/>
      <c r="AC1034" s="678"/>
      <c r="AD1034" s="679"/>
      <c r="AE1034" s="679"/>
      <c r="AF1034" s="680"/>
      <c r="AI1034" s="109" t="str">
        <f>"55:ryouyoushoku_code:" &amp; IF(I1034="■",1,IF(L1034="■",2,0))</f>
        <v>55:ryouyoushoku_code:0</v>
      </c>
    </row>
    <row r="1035" spans="1:35" s="109" customFormat="1" ht="18.75" customHeight="1" x14ac:dyDescent="0.2">
      <c r="A1035" s="139"/>
      <c r="B1035" s="123"/>
      <c r="C1035" s="248"/>
      <c r="D1035" s="249"/>
      <c r="E1035" s="128"/>
      <c r="F1035" s="142"/>
      <c r="G1035" s="128"/>
      <c r="H1035" s="767" t="s">
        <v>152</v>
      </c>
      <c r="I1035" s="394" t="s">
        <v>383</v>
      </c>
      <c r="J1035" s="395" t="s">
        <v>320</v>
      </c>
      <c r="K1035" s="395"/>
      <c r="L1035" s="424"/>
      <c r="M1035" s="424"/>
      <c r="N1035" s="424"/>
      <c r="O1035" s="424"/>
      <c r="P1035" s="397" t="s">
        <v>383</v>
      </c>
      <c r="Q1035" s="395" t="s">
        <v>321</v>
      </c>
      <c r="R1035" s="424"/>
      <c r="S1035" s="424"/>
      <c r="T1035" s="424"/>
      <c r="U1035" s="424"/>
      <c r="V1035" s="424"/>
      <c r="W1035" s="424"/>
      <c r="X1035" s="425"/>
      <c r="Y1035" s="154"/>
      <c r="Z1035" s="147"/>
      <c r="AA1035" s="147"/>
      <c r="AB1035" s="148"/>
      <c r="AC1035" s="678"/>
      <c r="AD1035" s="679"/>
      <c r="AE1035" s="679"/>
      <c r="AF1035" s="680"/>
      <c r="AI1035" s="109" t="str">
        <f>"55:" &amp; IF(AND(I1035="□",P1035="□",I1036="□"),"tokusin_jyusho_code:0:tokusin_yakuzai_code:0:shuudan_comu_code:0",IF(I1035="■","tokusin_jyusho_code:2","tokusin_jyusho_code:1")
&amp;IF(P1035="■",":tokusin_yakuzai_code:2",":tokusin_yakuzai_code:1")
&amp;IF(I1036="■",":shuudan_comu_code:2",":shuudan_comu_code:1"))</f>
        <v>55:tokusin_jyusho_code:0:tokusin_yakuzai_code:0:shuudan_comu_code:0</v>
      </c>
    </row>
    <row r="1036" spans="1:35" s="109" customFormat="1" ht="18.75" customHeight="1" x14ac:dyDescent="0.2">
      <c r="A1036" s="125" t="s">
        <v>383</v>
      </c>
      <c r="B1036" s="123">
        <v>55</v>
      </c>
      <c r="C1036" s="248" t="s">
        <v>424</v>
      </c>
      <c r="D1036" s="125" t="s">
        <v>383</v>
      </c>
      <c r="E1036" s="128" t="s">
        <v>381</v>
      </c>
      <c r="F1036" s="142"/>
      <c r="G1036" s="128"/>
      <c r="H1036" s="769"/>
      <c r="I1036" s="400" t="s">
        <v>383</v>
      </c>
      <c r="J1036" s="401" t="s">
        <v>334</v>
      </c>
      <c r="K1036" s="426"/>
      <c r="L1036" s="426"/>
      <c r="M1036" s="426"/>
      <c r="N1036" s="426"/>
      <c r="O1036" s="426"/>
      <c r="P1036" s="426"/>
      <c r="Q1036" s="403"/>
      <c r="R1036" s="426"/>
      <c r="S1036" s="426"/>
      <c r="T1036" s="426"/>
      <c r="U1036" s="426"/>
      <c r="V1036" s="426"/>
      <c r="W1036" s="426"/>
      <c r="X1036" s="427"/>
      <c r="Y1036" s="154"/>
      <c r="Z1036" s="147"/>
      <c r="AA1036" s="147"/>
      <c r="AB1036" s="148"/>
      <c r="AC1036" s="678"/>
      <c r="AD1036" s="679"/>
      <c r="AE1036" s="679"/>
      <c r="AF1036" s="680"/>
    </row>
    <row r="1037" spans="1:35" s="109" customFormat="1" ht="18.75" customHeight="1" x14ac:dyDescent="0.2">
      <c r="A1037" s="139"/>
      <c r="B1037" s="123"/>
      <c r="C1037" s="248"/>
      <c r="D1037" s="249"/>
      <c r="E1037" s="128"/>
      <c r="F1037" s="142"/>
      <c r="G1037" s="128"/>
      <c r="H1037" s="767" t="s">
        <v>103</v>
      </c>
      <c r="I1037" s="394" t="s">
        <v>383</v>
      </c>
      <c r="J1037" s="395" t="s">
        <v>335</v>
      </c>
      <c r="K1037" s="428"/>
      <c r="L1037" s="396"/>
      <c r="M1037" s="397" t="s">
        <v>383</v>
      </c>
      <c r="N1037" s="395" t="s">
        <v>336</v>
      </c>
      <c r="O1037" s="424"/>
      <c r="P1037" s="424"/>
      <c r="Q1037" s="397" t="s">
        <v>383</v>
      </c>
      <c r="R1037" s="395" t="s">
        <v>337</v>
      </c>
      <c r="S1037" s="424"/>
      <c r="T1037" s="424"/>
      <c r="U1037" s="424"/>
      <c r="V1037" s="424"/>
      <c r="W1037" s="424"/>
      <c r="X1037" s="425"/>
      <c r="Y1037" s="154"/>
      <c r="Z1037" s="147"/>
      <c r="AA1037" s="147"/>
      <c r="AB1037" s="148"/>
      <c r="AC1037" s="678"/>
      <c r="AD1037" s="679"/>
      <c r="AE1037" s="679"/>
      <c r="AF1037" s="680"/>
      <c r="AI1037" s="109" t="str">
        <f>"55:"&amp;IF(AND(I1037="□",M1037="□",Q1037="□",I1038="□",Q1038="□"),"koriha_rryoho1_code:0:koriha_sryoho_code:0:koriha_gengo_code:0:riha_seisin_code:0:koriha_other_code:0",IF(I1037="■","koriha_rryoho1_code:2","koriha_rryoho1_code:1")
&amp;IF(M1037="■",":koriha_sryoho_code:2",":koriha_sryoho_code:1")
&amp;IF(Q1037="■",":koriha_gengo_code:2",":koriha_gengo_code:1")
&amp;IF(I1038="■",":riha_seisin_code:2",":riha_seisin_code:1")
&amp;IF(Q1038="■",":koriha_other_code:2",":koriha_other_code:1"))</f>
        <v>55:koriha_rryoho1_code:0:koriha_sryoho_code:0:koriha_gengo_code:0:riha_seisin_code:0:koriha_other_code:0</v>
      </c>
    </row>
    <row r="1038" spans="1:35" s="109" customFormat="1" ht="18.75" customHeight="1" x14ac:dyDescent="0.2">
      <c r="A1038" s="139"/>
      <c r="B1038" s="123"/>
      <c r="C1038" s="248"/>
      <c r="D1038" s="139"/>
      <c r="E1038" s="128"/>
      <c r="F1038" s="142"/>
      <c r="G1038" s="128"/>
      <c r="H1038" s="769"/>
      <c r="I1038" s="400" t="s">
        <v>383</v>
      </c>
      <c r="J1038" s="401" t="s">
        <v>338</v>
      </c>
      <c r="K1038" s="426"/>
      <c r="L1038" s="426"/>
      <c r="M1038" s="426"/>
      <c r="N1038" s="426"/>
      <c r="O1038" s="426"/>
      <c r="P1038" s="426"/>
      <c r="Q1038" s="402" t="s">
        <v>383</v>
      </c>
      <c r="R1038" s="401" t="s">
        <v>339</v>
      </c>
      <c r="S1038" s="403"/>
      <c r="T1038" s="426"/>
      <c r="U1038" s="426"/>
      <c r="V1038" s="426"/>
      <c r="W1038" s="426"/>
      <c r="X1038" s="427"/>
      <c r="Y1038" s="154"/>
      <c r="Z1038" s="147"/>
      <c r="AA1038" s="147"/>
      <c r="AB1038" s="148"/>
      <c r="AC1038" s="678"/>
      <c r="AD1038" s="679"/>
      <c r="AE1038" s="679"/>
      <c r="AF1038" s="680"/>
    </row>
    <row r="1039" spans="1:35" s="109" customFormat="1" ht="18.75" customHeight="1" x14ac:dyDescent="0.2">
      <c r="A1039" s="139"/>
      <c r="B1039" s="123"/>
      <c r="C1039" s="248"/>
      <c r="D1039" s="249"/>
      <c r="E1039" s="128"/>
      <c r="F1039" s="142"/>
      <c r="G1039" s="128"/>
      <c r="H1039" s="770" t="s">
        <v>452</v>
      </c>
      <c r="I1039" s="772" t="s">
        <v>383</v>
      </c>
      <c r="J1039" s="774" t="s">
        <v>250</v>
      </c>
      <c r="K1039" s="774"/>
      <c r="L1039" s="776" t="s">
        <v>383</v>
      </c>
      <c r="M1039" s="774" t="s">
        <v>453</v>
      </c>
      <c r="N1039" s="774"/>
      <c r="O1039" s="774"/>
      <c r="P1039" s="776" t="s">
        <v>383</v>
      </c>
      <c r="Q1039" s="774" t="s">
        <v>454</v>
      </c>
      <c r="R1039" s="774"/>
      <c r="S1039" s="774"/>
      <c r="T1039" s="776" t="s">
        <v>383</v>
      </c>
      <c r="U1039" s="774" t="s">
        <v>455</v>
      </c>
      <c r="V1039" s="774"/>
      <c r="W1039" s="774"/>
      <c r="X1039" s="781"/>
      <c r="Y1039" s="154"/>
      <c r="Z1039" s="147"/>
      <c r="AA1039" s="147"/>
      <c r="AB1039" s="148"/>
      <c r="AC1039" s="678"/>
      <c r="AD1039" s="679"/>
      <c r="AE1039" s="679"/>
      <c r="AF1039" s="680"/>
      <c r="AI1039" s="109" t="str">
        <f>"55:"&amp;IF(AND(I1039="□",L1039="□",P1039="□",T1039="□"),"field236:0:field237:0:field238:0",IF(I1039="■","field236:1:field237:1:field238:1",IF(L1039="■","field236:2","field236:1")
&amp;IF(P1039="■",":field237:2",":field237:1")
&amp;IF(T1039="■",":field238:2",":field238:1")))</f>
        <v>55:field236:0:field237:0:field238:0</v>
      </c>
    </row>
    <row r="1040" spans="1:35" s="109" customFormat="1" ht="18.75" customHeight="1" x14ac:dyDescent="0.2">
      <c r="A1040" s="139"/>
      <c r="B1040" s="123"/>
      <c r="C1040" s="248"/>
      <c r="D1040" s="249"/>
      <c r="E1040" s="128"/>
      <c r="F1040" s="142"/>
      <c r="G1040" s="128"/>
      <c r="H1040" s="771"/>
      <c r="I1040" s="773"/>
      <c r="J1040" s="775"/>
      <c r="K1040" s="775"/>
      <c r="L1040" s="777"/>
      <c r="M1040" s="775"/>
      <c r="N1040" s="775"/>
      <c r="O1040" s="775"/>
      <c r="P1040" s="777"/>
      <c r="Q1040" s="775"/>
      <c r="R1040" s="775"/>
      <c r="S1040" s="775"/>
      <c r="T1040" s="777"/>
      <c r="U1040" s="775"/>
      <c r="V1040" s="775"/>
      <c r="W1040" s="775"/>
      <c r="X1040" s="782"/>
      <c r="Y1040" s="154"/>
      <c r="Z1040" s="147"/>
      <c r="AA1040" s="147"/>
      <c r="AB1040" s="148"/>
      <c r="AC1040" s="678"/>
      <c r="AD1040" s="679"/>
      <c r="AE1040" s="679"/>
      <c r="AF1040" s="680"/>
    </row>
    <row r="1041" spans="1:36" s="109" customFormat="1" ht="18.75" customHeight="1" x14ac:dyDescent="0.2">
      <c r="A1041" s="139"/>
      <c r="B1041" s="123"/>
      <c r="C1041" s="248"/>
      <c r="D1041" s="249"/>
      <c r="E1041" s="128"/>
      <c r="F1041" s="142"/>
      <c r="G1041" s="128"/>
      <c r="H1041" s="478" t="s">
        <v>120</v>
      </c>
      <c r="I1041" s="400" t="s">
        <v>383</v>
      </c>
      <c r="J1041" s="401" t="s">
        <v>250</v>
      </c>
      <c r="K1041" s="453"/>
      <c r="L1041" s="402" t="s">
        <v>383</v>
      </c>
      <c r="M1041" s="401" t="s">
        <v>267</v>
      </c>
      <c r="N1041" s="362"/>
      <c r="O1041" s="362"/>
      <c r="P1041" s="362"/>
      <c r="Q1041" s="362"/>
      <c r="R1041" s="362"/>
      <c r="S1041" s="362"/>
      <c r="T1041" s="362"/>
      <c r="U1041" s="362"/>
      <c r="V1041" s="362"/>
      <c r="W1041" s="362"/>
      <c r="X1041" s="363"/>
      <c r="Y1041" s="154"/>
      <c r="Z1041" s="147"/>
      <c r="AA1041" s="147"/>
      <c r="AB1041" s="148"/>
      <c r="AC1041" s="678"/>
      <c r="AD1041" s="679"/>
      <c r="AE1041" s="679"/>
      <c r="AF1041" s="680"/>
      <c r="AI1041" s="109" t="str">
        <f>"55:ninti_riha_code:" &amp; IF(I1041="■",1,IF(L1041="■",2,0))</f>
        <v>55:ninti_riha_code:0</v>
      </c>
    </row>
    <row r="1042" spans="1:36" s="109" customFormat="1" ht="18.75" customHeight="1" x14ac:dyDescent="0.2">
      <c r="A1042" s="139"/>
      <c r="B1042" s="123"/>
      <c r="C1042" s="248"/>
      <c r="D1042" s="249"/>
      <c r="E1042" s="128"/>
      <c r="F1042" s="142"/>
      <c r="G1042" s="128"/>
      <c r="H1042" s="405" t="s">
        <v>116</v>
      </c>
      <c r="I1042" s="406" t="s">
        <v>383</v>
      </c>
      <c r="J1042" s="345" t="s">
        <v>250</v>
      </c>
      <c r="K1042" s="345"/>
      <c r="L1042" s="408" t="s">
        <v>383</v>
      </c>
      <c r="M1042" s="345" t="s">
        <v>251</v>
      </c>
      <c r="N1042" s="345"/>
      <c r="O1042" s="408" t="s">
        <v>383</v>
      </c>
      <c r="P1042" s="345" t="s">
        <v>252</v>
      </c>
      <c r="Q1042" s="346"/>
      <c r="R1042" s="362"/>
      <c r="S1042" s="362"/>
      <c r="T1042" s="362"/>
      <c r="U1042" s="362"/>
      <c r="V1042" s="362"/>
      <c r="W1042" s="362"/>
      <c r="X1042" s="363"/>
      <c r="Y1042" s="154"/>
      <c r="Z1042" s="147"/>
      <c r="AA1042" s="147"/>
      <c r="AB1042" s="148"/>
      <c r="AC1042" s="678"/>
      <c r="AD1042" s="679"/>
      <c r="AE1042" s="679"/>
      <c r="AF1042" s="680"/>
      <c r="AI1042" s="109" t="str">
        <f>"55:ninti_senmoncare_code:" &amp; IF(I1042="■",1,IF(O1042="■",3,IF(L1042="■",2,0)))</f>
        <v>55:ninti_senmoncare_code:0</v>
      </c>
    </row>
    <row r="1043" spans="1:36" s="109" customFormat="1" ht="18.75" customHeight="1" x14ac:dyDescent="0.2">
      <c r="A1043" s="139"/>
      <c r="B1043" s="123"/>
      <c r="C1043" s="248"/>
      <c r="D1043" s="249"/>
      <c r="E1043" s="128"/>
      <c r="F1043" s="142"/>
      <c r="G1043" s="128"/>
      <c r="H1043" s="405" t="s">
        <v>447</v>
      </c>
      <c r="I1043" s="406" t="s">
        <v>383</v>
      </c>
      <c r="J1043" s="345" t="s">
        <v>250</v>
      </c>
      <c r="K1043" s="345"/>
      <c r="L1043" s="408" t="s">
        <v>383</v>
      </c>
      <c r="M1043" s="345" t="s">
        <v>251</v>
      </c>
      <c r="N1043" s="345"/>
      <c r="O1043" s="408" t="s">
        <v>383</v>
      </c>
      <c r="P1043" s="345" t="s">
        <v>252</v>
      </c>
      <c r="Q1043" s="362"/>
      <c r="R1043" s="362"/>
      <c r="S1043" s="362"/>
      <c r="T1043" s="362"/>
      <c r="U1043" s="362"/>
      <c r="V1043" s="362"/>
      <c r="W1043" s="362"/>
      <c r="X1043" s="363"/>
      <c r="Y1043" s="154"/>
      <c r="Z1043" s="147"/>
      <c r="AA1043" s="147"/>
      <c r="AB1043" s="148"/>
      <c r="AC1043" s="678"/>
      <c r="AD1043" s="679"/>
      <c r="AE1043" s="679"/>
      <c r="AF1043" s="680"/>
      <c r="AI1043" s="109" t="str">
        <f>"55:field228:" &amp; IF(I1043="■",1,IF(L1043="■",2,IF(O1043="■",3,0)))</f>
        <v>55:field228:0</v>
      </c>
    </row>
    <row r="1044" spans="1:36" s="109" customFormat="1" ht="18.75" customHeight="1" x14ac:dyDescent="0.2">
      <c r="A1044" s="139"/>
      <c r="B1044" s="123"/>
      <c r="C1044" s="248"/>
      <c r="D1044" s="249"/>
      <c r="E1044" s="128"/>
      <c r="F1044" s="142"/>
      <c r="G1044" s="128"/>
      <c r="H1044" s="405" t="s">
        <v>142</v>
      </c>
      <c r="I1044" s="406" t="s">
        <v>383</v>
      </c>
      <c r="J1044" s="345" t="s">
        <v>250</v>
      </c>
      <c r="K1044" s="345"/>
      <c r="L1044" s="408" t="s">
        <v>383</v>
      </c>
      <c r="M1044" s="345" t="s">
        <v>251</v>
      </c>
      <c r="N1044" s="345"/>
      <c r="O1044" s="408" t="s">
        <v>383</v>
      </c>
      <c r="P1044" s="345" t="s">
        <v>252</v>
      </c>
      <c r="Q1044" s="346"/>
      <c r="R1044" s="345"/>
      <c r="S1044" s="345"/>
      <c r="T1044" s="345"/>
      <c r="U1044" s="345"/>
      <c r="V1044" s="345"/>
      <c r="W1044" s="345"/>
      <c r="X1044" s="462"/>
      <c r="Y1044" s="154"/>
      <c r="Z1044" s="147"/>
      <c r="AA1044" s="147"/>
      <c r="AB1044" s="148"/>
      <c r="AC1044" s="678"/>
      <c r="AD1044" s="679"/>
      <c r="AE1044" s="679"/>
      <c r="AF1044" s="680"/>
      <c r="AI1044" s="109" t="str">
        <f>"55:field164:" &amp; IF(I1044="■",1,IF(L1044="■",2,IF(O1044="■",3,0)))</f>
        <v>55:field164:0</v>
      </c>
    </row>
    <row r="1045" spans="1:36" s="109" customFormat="1" ht="18.75" customHeight="1" x14ac:dyDescent="0.2">
      <c r="A1045" s="139"/>
      <c r="B1045" s="123"/>
      <c r="C1045" s="248"/>
      <c r="D1045" s="249"/>
      <c r="E1045" s="128"/>
      <c r="F1045" s="142"/>
      <c r="G1045" s="128"/>
      <c r="H1045" s="429" t="s">
        <v>198</v>
      </c>
      <c r="I1045" s="400" t="s">
        <v>383</v>
      </c>
      <c r="J1045" s="401" t="s">
        <v>250</v>
      </c>
      <c r="K1045" s="453"/>
      <c r="L1045" s="402" t="s">
        <v>383</v>
      </c>
      <c r="M1045" s="401" t="s">
        <v>267</v>
      </c>
      <c r="N1045" s="362"/>
      <c r="O1045" s="362"/>
      <c r="P1045" s="362"/>
      <c r="Q1045" s="362"/>
      <c r="R1045" s="362"/>
      <c r="S1045" s="362"/>
      <c r="T1045" s="362"/>
      <c r="U1045" s="362"/>
      <c r="V1045" s="362"/>
      <c r="W1045" s="362"/>
      <c r="X1045" s="363"/>
      <c r="Y1045" s="154"/>
      <c r="Z1045" s="147"/>
      <c r="AA1045" s="147"/>
      <c r="AB1045" s="148"/>
      <c r="AC1045" s="678"/>
      <c r="AD1045" s="679"/>
      <c r="AE1045" s="679"/>
      <c r="AF1045" s="680"/>
      <c r="AI1045" s="109" t="str">
        <f>"55:field210:" &amp; IF(I1045="■",1,IF(L1045="■",2,0))</f>
        <v>55:field210:0</v>
      </c>
    </row>
    <row r="1046" spans="1:36" s="109" customFormat="1" ht="18.75" customHeight="1" x14ac:dyDescent="0.2">
      <c r="A1046" s="139"/>
      <c r="B1046" s="123"/>
      <c r="C1046" s="248"/>
      <c r="D1046" s="249"/>
      <c r="E1046" s="128"/>
      <c r="F1046" s="142"/>
      <c r="G1046" s="128"/>
      <c r="H1046" s="405" t="s">
        <v>225</v>
      </c>
      <c r="I1046" s="400" t="s">
        <v>383</v>
      </c>
      <c r="J1046" s="401" t="s">
        <v>250</v>
      </c>
      <c r="K1046" s="453"/>
      <c r="L1046" s="402" t="s">
        <v>383</v>
      </c>
      <c r="M1046" s="401" t="s">
        <v>267</v>
      </c>
      <c r="N1046" s="362"/>
      <c r="O1046" s="362"/>
      <c r="P1046" s="362"/>
      <c r="Q1046" s="362"/>
      <c r="R1046" s="362"/>
      <c r="S1046" s="362"/>
      <c r="T1046" s="362"/>
      <c r="U1046" s="362"/>
      <c r="V1046" s="362"/>
      <c r="W1046" s="362"/>
      <c r="X1046" s="363"/>
      <c r="Y1046" s="154"/>
      <c r="Z1046" s="147"/>
      <c r="AA1046" s="147"/>
      <c r="AB1046" s="148"/>
      <c r="AC1046" s="678"/>
      <c r="AD1046" s="679"/>
      <c r="AE1046" s="679"/>
      <c r="AF1046" s="680"/>
      <c r="AI1046" s="109" t="str">
        <f>"55:field211:" &amp; IF(I1046="■",1,IF(L1046="■",2,0))</f>
        <v>55:field211:0</v>
      </c>
    </row>
    <row r="1047" spans="1:36" s="109" customFormat="1" ht="18.75" customHeight="1" x14ac:dyDescent="0.2">
      <c r="A1047" s="139"/>
      <c r="B1047" s="123"/>
      <c r="C1047" s="248"/>
      <c r="D1047" s="249"/>
      <c r="E1047" s="128"/>
      <c r="F1047" s="142"/>
      <c r="G1047" s="128"/>
      <c r="H1047" s="405" t="s">
        <v>197</v>
      </c>
      <c r="I1047" s="400" t="s">
        <v>383</v>
      </c>
      <c r="J1047" s="401" t="s">
        <v>250</v>
      </c>
      <c r="K1047" s="453"/>
      <c r="L1047" s="402" t="s">
        <v>383</v>
      </c>
      <c r="M1047" s="401" t="s">
        <v>267</v>
      </c>
      <c r="N1047" s="362"/>
      <c r="O1047" s="362"/>
      <c r="P1047" s="362"/>
      <c r="Q1047" s="362"/>
      <c r="R1047" s="362"/>
      <c r="S1047" s="362"/>
      <c r="T1047" s="362"/>
      <c r="U1047" s="362"/>
      <c r="V1047" s="362"/>
      <c r="W1047" s="362"/>
      <c r="X1047" s="363"/>
      <c r="Y1047" s="154"/>
      <c r="Z1047" s="147"/>
      <c r="AA1047" s="147"/>
      <c r="AB1047" s="148"/>
      <c r="AC1047" s="678"/>
      <c r="AD1047" s="679"/>
      <c r="AE1047" s="679"/>
      <c r="AF1047" s="680"/>
      <c r="AI1047" s="109" t="str">
        <f>"55:field212:" &amp; IF(I1047="■",1,IF(L1047="■",2,0))</f>
        <v>55:field212:0</v>
      </c>
    </row>
    <row r="1048" spans="1:36" s="109" customFormat="1" ht="18.75" customHeight="1" x14ac:dyDescent="0.2">
      <c r="A1048" s="139"/>
      <c r="B1048" s="123"/>
      <c r="C1048" s="248"/>
      <c r="D1048" s="249"/>
      <c r="E1048" s="128"/>
      <c r="F1048" s="142"/>
      <c r="G1048" s="128"/>
      <c r="H1048" s="405" t="s">
        <v>206</v>
      </c>
      <c r="I1048" s="400" t="s">
        <v>383</v>
      </c>
      <c r="J1048" s="401" t="s">
        <v>250</v>
      </c>
      <c r="K1048" s="453"/>
      <c r="L1048" s="402" t="s">
        <v>383</v>
      </c>
      <c r="M1048" s="401" t="s">
        <v>267</v>
      </c>
      <c r="N1048" s="362"/>
      <c r="O1048" s="362"/>
      <c r="P1048" s="362"/>
      <c r="Q1048" s="362"/>
      <c r="R1048" s="362"/>
      <c r="S1048" s="362"/>
      <c r="T1048" s="362"/>
      <c r="U1048" s="362"/>
      <c r="V1048" s="362"/>
      <c r="W1048" s="362"/>
      <c r="X1048" s="363"/>
      <c r="Y1048" s="154"/>
      <c r="Z1048" s="147"/>
      <c r="AA1048" s="147"/>
      <c r="AB1048" s="148"/>
      <c r="AC1048" s="678"/>
      <c r="AD1048" s="679"/>
      <c r="AE1048" s="679"/>
      <c r="AF1048" s="680"/>
      <c r="AI1048" s="109" t="str">
        <f>"55:field209:" &amp; IF(I1048="■",1,IF(L1048="■",2,0))</f>
        <v>55:field209:0</v>
      </c>
    </row>
    <row r="1049" spans="1:36" s="109" customFormat="1" ht="18.75" customHeight="1" x14ac:dyDescent="0.2">
      <c r="A1049" s="139"/>
      <c r="B1049" s="123"/>
      <c r="C1049" s="248"/>
      <c r="D1049" s="249"/>
      <c r="E1049" s="128"/>
      <c r="F1049" s="142"/>
      <c r="G1049" s="128"/>
      <c r="H1049" s="405" t="s">
        <v>461</v>
      </c>
      <c r="I1049" s="406" t="s">
        <v>383</v>
      </c>
      <c r="J1049" s="345" t="s">
        <v>250</v>
      </c>
      <c r="K1049" s="345"/>
      <c r="L1049" s="408" t="s">
        <v>383</v>
      </c>
      <c r="M1049" s="401" t="s">
        <v>267</v>
      </c>
      <c r="N1049" s="345"/>
      <c r="O1049" s="345"/>
      <c r="P1049" s="345"/>
      <c r="Q1049" s="362"/>
      <c r="R1049" s="362"/>
      <c r="S1049" s="362"/>
      <c r="T1049" s="362"/>
      <c r="U1049" s="362"/>
      <c r="V1049" s="362"/>
      <c r="W1049" s="362"/>
      <c r="X1049" s="363"/>
      <c r="Y1049" s="154"/>
      <c r="Z1049" s="147"/>
      <c r="AA1049" s="147"/>
      <c r="AB1049" s="148"/>
      <c r="AC1049" s="678"/>
      <c r="AD1049" s="679"/>
      <c r="AE1049" s="679"/>
      <c r="AF1049" s="680"/>
      <c r="AI1049" s="109" t="str">
        <f>"55:field226:" &amp; IF(I1049="■",1,IF(L1049="■",2,0))</f>
        <v>55:field226:0</v>
      </c>
    </row>
    <row r="1050" spans="1:36" s="109" customFormat="1" ht="18.75" customHeight="1" x14ac:dyDescent="0.2">
      <c r="A1050" s="139"/>
      <c r="B1050" s="123"/>
      <c r="C1050" s="248"/>
      <c r="D1050" s="249"/>
      <c r="E1050" s="128"/>
      <c r="F1050" s="142"/>
      <c r="G1050" s="128"/>
      <c r="H1050" s="405" t="s">
        <v>462</v>
      </c>
      <c r="I1050" s="406" t="s">
        <v>383</v>
      </c>
      <c r="J1050" s="345" t="s">
        <v>250</v>
      </c>
      <c r="K1050" s="345"/>
      <c r="L1050" s="408" t="s">
        <v>383</v>
      </c>
      <c r="M1050" s="401" t="s">
        <v>267</v>
      </c>
      <c r="N1050" s="345"/>
      <c r="O1050" s="345"/>
      <c r="P1050" s="345"/>
      <c r="Q1050" s="362"/>
      <c r="R1050" s="362"/>
      <c r="S1050" s="362"/>
      <c r="T1050" s="362"/>
      <c r="U1050" s="362"/>
      <c r="V1050" s="362"/>
      <c r="W1050" s="362"/>
      <c r="X1050" s="363"/>
      <c r="Y1050" s="154"/>
      <c r="Z1050" s="147"/>
      <c r="AA1050" s="147"/>
      <c r="AB1050" s="148"/>
      <c r="AC1050" s="678"/>
      <c r="AD1050" s="679"/>
      <c r="AE1050" s="679"/>
      <c r="AF1050" s="680"/>
      <c r="AI1050" s="109" t="str">
        <f>"55:field227:" &amp; IF(I1050="■",1,IF(L1050="■",2,0))</f>
        <v>55:field227:0</v>
      </c>
    </row>
    <row r="1051" spans="1:36" s="109" customFormat="1" ht="18.75" customHeight="1" x14ac:dyDescent="0.2">
      <c r="A1051" s="139"/>
      <c r="B1051" s="123"/>
      <c r="C1051" s="248"/>
      <c r="D1051" s="249"/>
      <c r="E1051" s="128"/>
      <c r="F1051" s="142"/>
      <c r="G1051" s="128"/>
      <c r="H1051" s="423" t="s">
        <v>442</v>
      </c>
      <c r="I1051" s="406" t="s">
        <v>383</v>
      </c>
      <c r="J1051" s="345" t="s">
        <v>250</v>
      </c>
      <c r="K1051" s="345"/>
      <c r="L1051" s="408" t="s">
        <v>383</v>
      </c>
      <c r="M1051" s="345" t="s">
        <v>251</v>
      </c>
      <c r="N1051" s="345"/>
      <c r="O1051" s="408" t="s">
        <v>383</v>
      </c>
      <c r="P1051" s="345" t="s">
        <v>252</v>
      </c>
      <c r="Q1051" s="346"/>
      <c r="R1051" s="346"/>
      <c r="S1051" s="346"/>
      <c r="T1051" s="346"/>
      <c r="U1051" s="424"/>
      <c r="V1051" s="424"/>
      <c r="W1051" s="424"/>
      <c r="X1051" s="425"/>
      <c r="Y1051" s="154"/>
      <c r="Z1051" s="147"/>
      <c r="AA1051" s="147"/>
      <c r="AB1051" s="148"/>
      <c r="AC1051" s="678"/>
      <c r="AD1051" s="679"/>
      <c r="AE1051" s="679"/>
      <c r="AF1051" s="680"/>
      <c r="AI1051" s="109" t="str">
        <f>"55:field225:" &amp; IF(I1051="■",1,IF(L1051="■",2,IF(O1051="■",3,0)))</f>
        <v>55:field225:0</v>
      </c>
    </row>
    <row r="1052" spans="1:36" s="109" customFormat="1" ht="18.75" customHeight="1" x14ac:dyDescent="0.2">
      <c r="A1052" s="139"/>
      <c r="B1052" s="123"/>
      <c r="C1052" s="248"/>
      <c r="D1052" s="249"/>
      <c r="E1052" s="128"/>
      <c r="F1052" s="142"/>
      <c r="G1052" s="128"/>
      <c r="H1052" s="405" t="s">
        <v>118</v>
      </c>
      <c r="I1052" s="406" t="s">
        <v>383</v>
      </c>
      <c r="J1052" s="345" t="s">
        <v>250</v>
      </c>
      <c r="K1052" s="345"/>
      <c r="L1052" s="408" t="s">
        <v>383</v>
      </c>
      <c r="M1052" s="345" t="s">
        <v>258</v>
      </c>
      <c r="N1052" s="345"/>
      <c r="O1052" s="408" t="s">
        <v>383</v>
      </c>
      <c r="P1052" s="345" t="s">
        <v>259</v>
      </c>
      <c r="Q1052" s="430"/>
      <c r="R1052" s="408" t="s">
        <v>383</v>
      </c>
      <c r="S1052" s="345" t="s">
        <v>283</v>
      </c>
      <c r="T1052" s="345"/>
      <c r="U1052" s="345"/>
      <c r="V1052" s="345"/>
      <c r="W1052" s="345"/>
      <c r="X1052" s="462"/>
      <c r="Y1052" s="154"/>
      <c r="Z1052" s="147"/>
      <c r="AA1052" s="147"/>
      <c r="AB1052" s="148"/>
      <c r="AC1052" s="678"/>
      <c r="AD1052" s="679"/>
      <c r="AE1052" s="679"/>
      <c r="AF1052" s="680"/>
      <c r="AI1052" s="109" t="str">
        <f>"55:serteikyo_kyoka_code:" &amp; IF(I1052="■",1,IF(L1052="■",6,IF(O1052="■",5,IF(R1052="■",7,0))))</f>
        <v>55:serteikyo_kyoka_code:0</v>
      </c>
    </row>
    <row r="1053" spans="1:36" s="621" customFormat="1" ht="18.75" customHeight="1" x14ac:dyDescent="0.2">
      <c r="A1053" s="139"/>
      <c r="B1053" s="670"/>
      <c r="C1053" s="248"/>
      <c r="D1053" s="249"/>
      <c r="E1053" s="128"/>
      <c r="F1053" s="142"/>
      <c r="G1053" s="143"/>
      <c r="H1053" s="713" t="s">
        <v>790</v>
      </c>
      <c r="I1053" s="642" t="s">
        <v>383</v>
      </c>
      <c r="J1053" s="616" t="s">
        <v>627</v>
      </c>
      <c r="K1053" s="616"/>
      <c r="L1053" s="615"/>
      <c r="M1053" s="644" t="s">
        <v>383</v>
      </c>
      <c r="N1053" s="616" t="s">
        <v>791</v>
      </c>
      <c r="O1053" s="617"/>
      <c r="P1053" s="615"/>
      <c r="Q1053" s="644" t="s">
        <v>383</v>
      </c>
      <c r="R1053" s="618" t="s">
        <v>802</v>
      </c>
      <c r="S1053" s="615"/>
      <c r="T1053" s="615"/>
      <c r="U1053" s="615"/>
      <c r="V1053" s="618"/>
      <c r="W1053" s="619"/>
      <c r="X1053" s="620"/>
      <c r="Y1053" s="154"/>
      <c r="Z1053" s="147"/>
      <c r="AA1053" s="147"/>
      <c r="AB1053" s="148"/>
      <c r="AC1053" s="678"/>
      <c r="AD1053" s="679"/>
      <c r="AE1053" s="679"/>
      <c r="AF1053" s="680"/>
    </row>
    <row r="1054" spans="1:36" s="621" customFormat="1" ht="18.75" customHeight="1" x14ac:dyDescent="0.2">
      <c r="A1054" s="139"/>
      <c r="B1054" s="670"/>
      <c r="C1054" s="248"/>
      <c r="D1054" s="249"/>
      <c r="E1054" s="128"/>
      <c r="F1054" s="142"/>
      <c r="G1054" s="143"/>
      <c r="H1054" s="714"/>
      <c r="I1054" s="643" t="s">
        <v>383</v>
      </c>
      <c r="J1054" s="623" t="s">
        <v>803</v>
      </c>
      <c r="K1054" s="623"/>
      <c r="L1054" s="622"/>
      <c r="M1054" s="211" t="s">
        <v>383</v>
      </c>
      <c r="N1054" s="623" t="s">
        <v>804</v>
      </c>
      <c r="O1054" s="624"/>
      <c r="P1054" s="622"/>
      <c r="Q1054" s="211" t="s">
        <v>383</v>
      </c>
      <c r="R1054" s="623" t="s">
        <v>795</v>
      </c>
      <c r="S1054" s="622"/>
      <c r="T1054" s="623"/>
      <c r="U1054" s="211" t="s">
        <v>383</v>
      </c>
      <c r="V1054" s="623" t="s">
        <v>796</v>
      </c>
      <c r="W1054" s="625"/>
      <c r="X1054" s="626"/>
      <c r="Y1054" s="154"/>
      <c r="Z1054" s="147"/>
      <c r="AA1054" s="147"/>
      <c r="AB1054" s="148"/>
      <c r="AC1054" s="678"/>
      <c r="AD1054" s="679"/>
      <c r="AE1054" s="679"/>
      <c r="AF1054" s="680"/>
    </row>
    <row r="1055" spans="1:36" s="109" customFormat="1" ht="18.75" customHeight="1" x14ac:dyDescent="0.2">
      <c r="A1055" s="129"/>
      <c r="B1055" s="116"/>
      <c r="C1055" s="272"/>
      <c r="D1055" s="273"/>
      <c r="E1055" s="121"/>
      <c r="F1055" s="132"/>
      <c r="G1055" s="121"/>
      <c r="H1055" s="778" t="s">
        <v>97</v>
      </c>
      <c r="I1055" s="447" t="s">
        <v>383</v>
      </c>
      <c r="J1055" s="448" t="s">
        <v>300</v>
      </c>
      <c r="K1055" s="449"/>
      <c r="L1055" s="451"/>
      <c r="M1055" s="450" t="s">
        <v>383</v>
      </c>
      <c r="N1055" s="448" t="s">
        <v>328</v>
      </c>
      <c r="O1055" s="451"/>
      <c r="P1055" s="451"/>
      <c r="Q1055" s="450" t="s">
        <v>383</v>
      </c>
      <c r="R1055" s="448" t="s">
        <v>329</v>
      </c>
      <c r="S1055" s="451"/>
      <c r="T1055" s="451"/>
      <c r="U1055" s="450" t="s">
        <v>383</v>
      </c>
      <c r="V1055" s="448" t="s">
        <v>330</v>
      </c>
      <c r="W1055" s="451"/>
      <c r="X1055" s="452"/>
      <c r="Y1055" s="663" t="s">
        <v>383</v>
      </c>
      <c r="Z1055" s="119" t="s">
        <v>249</v>
      </c>
      <c r="AA1055" s="119"/>
      <c r="AB1055" s="137"/>
      <c r="AC1055" s="675"/>
      <c r="AD1055" s="676"/>
      <c r="AE1055" s="676"/>
      <c r="AF1055" s="677"/>
      <c r="AG1055" s="109" t="str">
        <f>"ser_code = '" &amp; IF(A1066="■",55,"") &amp; "'"</f>
        <v>ser_code = ''</v>
      </c>
      <c r="AH1055" s="109" t="str">
        <f>"55:jininkbn_code:"&amp;IF(F1066="■",1,IF(F1067="■",2,0))</f>
        <v>55:jininkbn_code:0</v>
      </c>
      <c r="AI1055" s="109" t="str">
        <f>"55:yakan_kinmu_code:" &amp; IF(I1055="■",1,IF(M1055="■",2,IF(Q1055="■",3,IF(U1055="■",7,IF(I1056="■",5,IF(M1056="■",6,0))))))</f>
        <v>55:yakan_kinmu_code:0</v>
      </c>
      <c r="AJ1055" s="109" t="str">
        <f>"55:field203:" &amp; IF(Y1055="■",1,IF(Y1056="■",2,0))</f>
        <v>55:field203:0</v>
      </c>
    </row>
    <row r="1056" spans="1:36" s="109" customFormat="1" ht="18.75" customHeight="1" x14ac:dyDescent="0.2">
      <c r="A1056" s="139"/>
      <c r="B1056" s="123"/>
      <c r="C1056" s="248"/>
      <c r="D1056" s="249"/>
      <c r="E1056" s="128"/>
      <c r="F1056" s="142"/>
      <c r="G1056" s="128"/>
      <c r="H1056" s="769"/>
      <c r="I1056" s="400" t="s">
        <v>383</v>
      </c>
      <c r="J1056" s="401" t="s">
        <v>331</v>
      </c>
      <c r="K1056" s="453"/>
      <c r="L1056" s="403"/>
      <c r="M1056" s="402" t="s">
        <v>383</v>
      </c>
      <c r="N1056" s="401" t="s">
        <v>301</v>
      </c>
      <c r="O1056" s="403"/>
      <c r="P1056" s="403"/>
      <c r="Q1056" s="403"/>
      <c r="R1056" s="403"/>
      <c r="S1056" s="403"/>
      <c r="T1056" s="403"/>
      <c r="U1056" s="403"/>
      <c r="V1056" s="403"/>
      <c r="W1056" s="403"/>
      <c r="X1056" s="404"/>
      <c r="Y1056" s="664" t="s">
        <v>383</v>
      </c>
      <c r="Z1056" s="614" t="s">
        <v>255</v>
      </c>
      <c r="AA1056" s="627"/>
      <c r="AB1056" s="148"/>
      <c r="AC1056" s="678"/>
      <c r="AD1056" s="679"/>
      <c r="AE1056" s="679"/>
      <c r="AF1056" s="680"/>
      <c r="AG1056" s="109" t="str">
        <f>"55:sisetukbn_code:" &amp; IF(D1066="■",6,0)</f>
        <v>55:sisetukbn_code:0</v>
      </c>
    </row>
    <row r="1057" spans="1:35" s="109" customFormat="1" ht="18.75" customHeight="1" x14ac:dyDescent="0.2">
      <c r="A1057" s="139"/>
      <c r="B1057" s="123"/>
      <c r="C1057" s="248"/>
      <c r="D1057" s="249"/>
      <c r="E1057" s="128"/>
      <c r="F1057" s="142"/>
      <c r="G1057" s="128"/>
      <c r="H1057" s="767" t="s">
        <v>93</v>
      </c>
      <c r="I1057" s="394" t="s">
        <v>383</v>
      </c>
      <c r="J1057" s="395" t="s">
        <v>250</v>
      </c>
      <c r="K1057" s="395"/>
      <c r="L1057" s="398"/>
      <c r="M1057" s="397" t="s">
        <v>383</v>
      </c>
      <c r="N1057" s="395" t="s">
        <v>289</v>
      </c>
      <c r="O1057" s="395"/>
      <c r="P1057" s="398"/>
      <c r="Q1057" s="397" t="s">
        <v>383</v>
      </c>
      <c r="R1057" s="398" t="s">
        <v>372</v>
      </c>
      <c r="S1057" s="398"/>
      <c r="T1057" s="398"/>
      <c r="U1057" s="397" t="s">
        <v>383</v>
      </c>
      <c r="V1057" s="398" t="s">
        <v>373</v>
      </c>
      <c r="W1057" s="424"/>
      <c r="X1057" s="425"/>
      <c r="Y1057" s="154"/>
      <c r="Z1057" s="627"/>
      <c r="AA1057" s="627"/>
      <c r="AB1057" s="148"/>
      <c r="AC1057" s="678"/>
      <c r="AD1057" s="679"/>
      <c r="AE1057" s="679"/>
      <c r="AF1057" s="680"/>
      <c r="AI1057" s="109" t="str">
        <f>"55:"&amp;IF(AND(I1057="□",M1057="□",Q1057="□",U1057="□",I1058="□",M1058="□"),"ketu_doctor_code:0",IF(I1057="■","ketu_doctor_code:1:field197:1:ketu_kangos_code:1:ketu_kshoku_code:1:ketu_ksiensou_code:1",IF(M1057="■","ketu_doctor_code:2","ketu_doctor_code:1")
&amp;IF(Q1057="■",":field197:2",":field197:1")
&amp;IF(U1057="■",":ketu_kangos_code:2",":ketu_kangos_code:1")
&amp;IF(I1058="■",":ketu_kshoku_code:2",":ketu_kshoku_code:1")
&amp;IF(M1058="■",":ketu_ksiensou_code:2",":ketu_ksiensou_code:1")))</f>
        <v>55:ketu_doctor_code:0</v>
      </c>
    </row>
    <row r="1058" spans="1:35" s="109" customFormat="1" ht="18.75" customHeight="1" x14ac:dyDescent="0.2">
      <c r="A1058" s="139"/>
      <c r="B1058" s="123"/>
      <c r="C1058" s="248"/>
      <c r="D1058" s="249"/>
      <c r="E1058" s="128"/>
      <c r="F1058" s="142"/>
      <c r="G1058" s="128"/>
      <c r="H1058" s="769"/>
      <c r="I1058" s="400" t="s">
        <v>383</v>
      </c>
      <c r="J1058" s="403" t="s">
        <v>374</v>
      </c>
      <c r="K1058" s="401"/>
      <c r="L1058" s="403"/>
      <c r="M1058" s="402" t="s">
        <v>383</v>
      </c>
      <c r="N1058" s="401" t="s">
        <v>422</v>
      </c>
      <c r="O1058" s="401"/>
      <c r="P1058" s="403"/>
      <c r="Q1058" s="403"/>
      <c r="R1058" s="403"/>
      <c r="S1058" s="403"/>
      <c r="T1058" s="403"/>
      <c r="U1058" s="403"/>
      <c r="V1058" s="403"/>
      <c r="W1058" s="426"/>
      <c r="X1058" s="427"/>
      <c r="Y1058" s="154"/>
      <c r="Z1058" s="627"/>
      <c r="AA1058" s="627"/>
      <c r="AB1058" s="148"/>
      <c r="AC1058" s="678"/>
      <c r="AD1058" s="679"/>
      <c r="AE1058" s="679"/>
      <c r="AF1058" s="680"/>
    </row>
    <row r="1059" spans="1:35" s="109" customFormat="1" ht="18.75" customHeight="1" x14ac:dyDescent="0.2">
      <c r="A1059" s="139"/>
      <c r="B1059" s="123"/>
      <c r="C1059" s="248"/>
      <c r="D1059" s="249"/>
      <c r="E1059" s="128"/>
      <c r="F1059" s="142"/>
      <c r="G1059" s="128"/>
      <c r="H1059" s="405" t="s">
        <v>98</v>
      </c>
      <c r="I1059" s="406" t="s">
        <v>383</v>
      </c>
      <c r="J1059" s="345" t="s">
        <v>265</v>
      </c>
      <c r="K1059" s="362"/>
      <c r="L1059" s="430"/>
      <c r="M1059" s="408" t="s">
        <v>383</v>
      </c>
      <c r="N1059" s="345" t="s">
        <v>266</v>
      </c>
      <c r="O1059" s="362"/>
      <c r="P1059" s="346"/>
      <c r="Q1059" s="346"/>
      <c r="R1059" s="346"/>
      <c r="S1059" s="346"/>
      <c r="T1059" s="346"/>
      <c r="U1059" s="346"/>
      <c r="V1059" s="346"/>
      <c r="W1059" s="346"/>
      <c r="X1059" s="347"/>
      <c r="Y1059" s="154"/>
      <c r="Z1059" s="627"/>
      <c r="AA1059" s="627"/>
      <c r="AB1059" s="148"/>
      <c r="AC1059" s="678"/>
      <c r="AD1059" s="679"/>
      <c r="AE1059" s="679"/>
      <c r="AF1059" s="680"/>
      <c r="AI1059" s="109" t="str">
        <f>"55:unitcare_code:" &amp; IF(I1059="■",1,IF(M1059="■",2,0))</f>
        <v>55:unitcare_code:0</v>
      </c>
    </row>
    <row r="1060" spans="1:35" s="109" customFormat="1" ht="18.75" customHeight="1" x14ac:dyDescent="0.2">
      <c r="A1060" s="139"/>
      <c r="B1060" s="123"/>
      <c r="C1060" s="248"/>
      <c r="D1060" s="249"/>
      <c r="E1060" s="128"/>
      <c r="F1060" s="142"/>
      <c r="G1060" s="128"/>
      <c r="H1060" s="405" t="s">
        <v>107</v>
      </c>
      <c r="I1060" s="406" t="s">
        <v>383</v>
      </c>
      <c r="J1060" s="345" t="s">
        <v>395</v>
      </c>
      <c r="K1060" s="362"/>
      <c r="L1060" s="430"/>
      <c r="M1060" s="408" t="s">
        <v>383</v>
      </c>
      <c r="N1060" s="345" t="s">
        <v>396</v>
      </c>
      <c r="O1060" s="346"/>
      <c r="P1060" s="346"/>
      <c r="Q1060" s="346"/>
      <c r="R1060" s="346"/>
      <c r="S1060" s="346"/>
      <c r="T1060" s="346"/>
      <c r="U1060" s="346"/>
      <c r="V1060" s="346"/>
      <c r="W1060" s="346"/>
      <c r="X1060" s="347"/>
      <c r="Y1060" s="154"/>
      <c r="Z1060" s="627"/>
      <c r="AA1060" s="627"/>
      <c r="AB1060" s="148"/>
      <c r="AC1060" s="678"/>
      <c r="AD1060" s="679"/>
      <c r="AE1060" s="679"/>
      <c r="AF1060" s="680"/>
      <c r="AI1060" s="109" t="str">
        <f>"55:sintaikousoku_code:" &amp; IF(I1060="■",1,IF(M1060="■",2,0))</f>
        <v>55:sintaikousoku_code:0</v>
      </c>
    </row>
    <row r="1061" spans="1:35" s="109" customFormat="1" ht="18.75" customHeight="1" x14ac:dyDescent="0.2">
      <c r="A1061" s="139"/>
      <c r="B1061" s="123"/>
      <c r="C1061" s="248"/>
      <c r="D1061" s="249"/>
      <c r="E1061" s="128"/>
      <c r="F1061" s="142"/>
      <c r="G1061" s="128"/>
      <c r="H1061" s="405" t="s">
        <v>200</v>
      </c>
      <c r="I1061" s="406" t="s">
        <v>383</v>
      </c>
      <c r="J1061" s="345" t="s">
        <v>395</v>
      </c>
      <c r="K1061" s="362"/>
      <c r="L1061" s="430"/>
      <c r="M1061" s="408" t="s">
        <v>383</v>
      </c>
      <c r="N1061" s="345" t="s">
        <v>396</v>
      </c>
      <c r="O1061" s="346"/>
      <c r="P1061" s="346"/>
      <c r="Q1061" s="346"/>
      <c r="R1061" s="346"/>
      <c r="S1061" s="346"/>
      <c r="T1061" s="346"/>
      <c r="U1061" s="346"/>
      <c r="V1061" s="346"/>
      <c r="W1061" s="346"/>
      <c r="X1061" s="347"/>
      <c r="Y1061" s="154"/>
      <c r="Z1061" s="627"/>
      <c r="AA1061" s="627"/>
      <c r="AB1061" s="148"/>
      <c r="AC1061" s="678"/>
      <c r="AD1061" s="679"/>
      <c r="AE1061" s="679"/>
      <c r="AF1061" s="680"/>
      <c r="AI1061" s="109" t="str">
        <f>"55:field208:" &amp; IF(I1061="■",1,IF(M1061="■",2,0))</f>
        <v>55:field208:0</v>
      </c>
    </row>
    <row r="1062" spans="1:35" s="109" customFormat="1" ht="19.5" customHeight="1" x14ac:dyDescent="0.2">
      <c r="A1062" s="139"/>
      <c r="B1062" s="123"/>
      <c r="C1062" s="140"/>
      <c r="D1062" s="141"/>
      <c r="E1062" s="128"/>
      <c r="F1062" s="142"/>
      <c r="G1062" s="143"/>
      <c r="H1062" s="422" t="s">
        <v>430</v>
      </c>
      <c r="I1062" s="406" t="s">
        <v>383</v>
      </c>
      <c r="J1062" s="345" t="s">
        <v>395</v>
      </c>
      <c r="K1062" s="362"/>
      <c r="L1062" s="407"/>
      <c r="M1062" s="408" t="s">
        <v>383</v>
      </c>
      <c r="N1062" s="345" t="s">
        <v>431</v>
      </c>
      <c r="O1062" s="344"/>
      <c r="P1062" s="345"/>
      <c r="Q1062" s="346"/>
      <c r="R1062" s="346"/>
      <c r="S1062" s="346"/>
      <c r="T1062" s="346"/>
      <c r="U1062" s="346"/>
      <c r="V1062" s="346"/>
      <c r="W1062" s="346"/>
      <c r="X1062" s="347"/>
      <c r="Y1062" s="154"/>
      <c r="Z1062" s="627"/>
      <c r="AA1062" s="627"/>
      <c r="AB1062" s="148"/>
      <c r="AC1062" s="678"/>
      <c r="AD1062" s="679"/>
      <c r="AE1062" s="679"/>
      <c r="AF1062" s="680"/>
      <c r="AI1062" s="109" t="str">
        <f>"55:field223:" &amp; IF(I1062="■",1,IF(M1062="■",2,0))</f>
        <v>55:field223:0</v>
      </c>
    </row>
    <row r="1063" spans="1:35" s="109" customFormat="1" ht="19.5" customHeight="1" x14ac:dyDescent="0.2">
      <c r="A1063" s="139"/>
      <c r="B1063" s="123"/>
      <c r="C1063" s="140"/>
      <c r="D1063" s="141"/>
      <c r="E1063" s="128"/>
      <c r="F1063" s="142"/>
      <c r="G1063" s="143"/>
      <c r="H1063" s="422" t="s">
        <v>448</v>
      </c>
      <c r="I1063" s="406" t="s">
        <v>383</v>
      </c>
      <c r="J1063" s="345" t="s">
        <v>395</v>
      </c>
      <c r="K1063" s="362"/>
      <c r="L1063" s="407"/>
      <c r="M1063" s="408" t="s">
        <v>383</v>
      </c>
      <c r="N1063" s="345" t="s">
        <v>431</v>
      </c>
      <c r="O1063" s="344"/>
      <c r="P1063" s="345"/>
      <c r="Q1063" s="346"/>
      <c r="R1063" s="346"/>
      <c r="S1063" s="346"/>
      <c r="T1063" s="346"/>
      <c r="U1063" s="346"/>
      <c r="V1063" s="346"/>
      <c r="W1063" s="346"/>
      <c r="X1063" s="347"/>
      <c r="Y1063" s="154"/>
      <c r="Z1063" s="627"/>
      <c r="AA1063" s="627"/>
      <c r="AB1063" s="148"/>
      <c r="AC1063" s="678"/>
      <c r="AD1063" s="679"/>
      <c r="AE1063" s="679"/>
      <c r="AF1063" s="680"/>
      <c r="AI1063" s="109" t="str">
        <f>"55:field232:" &amp; IF(I1063="■",1,IF(M1063="■",2,0))</f>
        <v>55:field232:0</v>
      </c>
    </row>
    <row r="1064" spans="1:35" s="109" customFormat="1" ht="18.75" customHeight="1" x14ac:dyDescent="0.2">
      <c r="A1064" s="139"/>
      <c r="B1064" s="123"/>
      <c r="C1064" s="248"/>
      <c r="D1064" s="249"/>
      <c r="E1064" s="128"/>
      <c r="F1064" s="142"/>
      <c r="G1064" s="128"/>
      <c r="H1064" s="770" t="s">
        <v>202</v>
      </c>
      <c r="I1064" s="772" t="s">
        <v>383</v>
      </c>
      <c r="J1064" s="774" t="s">
        <v>250</v>
      </c>
      <c r="K1064" s="774"/>
      <c r="L1064" s="776" t="s">
        <v>383</v>
      </c>
      <c r="M1064" s="774" t="s">
        <v>267</v>
      </c>
      <c r="N1064" s="774"/>
      <c r="O1064" s="398"/>
      <c r="P1064" s="398"/>
      <c r="Q1064" s="398"/>
      <c r="R1064" s="398"/>
      <c r="S1064" s="398"/>
      <c r="T1064" s="398"/>
      <c r="U1064" s="398"/>
      <c r="V1064" s="398"/>
      <c r="W1064" s="398"/>
      <c r="X1064" s="399"/>
      <c r="Y1064" s="154"/>
      <c r="Z1064" s="627"/>
      <c r="AA1064" s="627"/>
      <c r="AB1064" s="148"/>
      <c r="AC1064" s="678"/>
      <c r="AD1064" s="679"/>
      <c r="AE1064" s="679"/>
      <c r="AF1064" s="680"/>
      <c r="AI1064" s="109" t="str">
        <f>"55:field206:" &amp; IF(I1064="■",1,IF(L1064="■",2,0))</f>
        <v>55:field206:0</v>
      </c>
    </row>
    <row r="1065" spans="1:35" s="109" customFormat="1" ht="18.75" customHeight="1" x14ac:dyDescent="0.2">
      <c r="A1065" s="139"/>
      <c r="B1065" s="123"/>
      <c r="C1065" s="248"/>
      <c r="D1065" s="249"/>
      <c r="E1065" s="128"/>
      <c r="F1065" s="142"/>
      <c r="G1065" s="128"/>
      <c r="H1065" s="771"/>
      <c r="I1065" s="773"/>
      <c r="J1065" s="775"/>
      <c r="K1065" s="775"/>
      <c r="L1065" s="777"/>
      <c r="M1065" s="775"/>
      <c r="N1065" s="775"/>
      <c r="O1065" s="403"/>
      <c r="P1065" s="403"/>
      <c r="Q1065" s="403"/>
      <c r="R1065" s="403"/>
      <c r="S1065" s="403"/>
      <c r="T1065" s="403"/>
      <c r="U1065" s="403"/>
      <c r="V1065" s="403"/>
      <c r="W1065" s="403"/>
      <c r="X1065" s="404"/>
      <c r="Y1065" s="154"/>
      <c r="Z1065" s="627"/>
      <c r="AA1065" s="627"/>
      <c r="AB1065" s="148"/>
      <c r="AC1065" s="678"/>
      <c r="AD1065" s="679"/>
      <c r="AE1065" s="679"/>
      <c r="AF1065" s="680"/>
    </row>
    <row r="1066" spans="1:35" s="109" customFormat="1" ht="18.75" customHeight="1" x14ac:dyDescent="0.2">
      <c r="A1066" s="125" t="s">
        <v>383</v>
      </c>
      <c r="B1066" s="123">
        <v>55</v>
      </c>
      <c r="C1066" s="248" t="s">
        <v>203</v>
      </c>
      <c r="D1066" s="125" t="s">
        <v>383</v>
      </c>
      <c r="E1066" s="128" t="s">
        <v>151</v>
      </c>
      <c r="F1066" s="125" t="s">
        <v>383</v>
      </c>
      <c r="G1066" s="128" t="s">
        <v>379</v>
      </c>
      <c r="H1066" s="405" t="s">
        <v>164</v>
      </c>
      <c r="I1066" s="406" t="s">
        <v>383</v>
      </c>
      <c r="J1066" s="345" t="s">
        <v>420</v>
      </c>
      <c r="K1066" s="362"/>
      <c r="L1066" s="407"/>
      <c r="M1066" s="408" t="s">
        <v>383</v>
      </c>
      <c r="N1066" s="345" t="s">
        <v>332</v>
      </c>
      <c r="O1066" s="346"/>
      <c r="P1066" s="346"/>
      <c r="Q1066" s="346"/>
      <c r="R1066" s="346"/>
      <c r="S1066" s="346"/>
      <c r="T1066" s="346"/>
      <c r="U1066" s="346"/>
      <c r="V1066" s="346"/>
      <c r="W1066" s="346"/>
      <c r="X1066" s="347"/>
      <c r="Y1066" s="154"/>
      <c r="Z1066" s="627"/>
      <c r="AA1066" s="627"/>
      <c r="AB1066" s="148"/>
      <c r="AC1066" s="678"/>
      <c r="AD1066" s="679"/>
      <c r="AE1066" s="679"/>
      <c r="AF1066" s="680"/>
      <c r="AI1066" s="109" t="str">
        <f>"55:field190:" &amp; IF(I1066="■",1,IF(M1066="■",2,0))</f>
        <v>55:field190:0</v>
      </c>
    </row>
    <row r="1067" spans="1:35" s="109" customFormat="1" ht="18.75" customHeight="1" x14ac:dyDescent="0.2">
      <c r="A1067" s="139"/>
      <c r="B1067" s="123"/>
      <c r="C1067" s="248"/>
      <c r="D1067" s="249"/>
      <c r="E1067" s="128"/>
      <c r="F1067" s="125" t="s">
        <v>383</v>
      </c>
      <c r="G1067" s="128" t="s">
        <v>365</v>
      </c>
      <c r="H1067" s="405" t="s">
        <v>165</v>
      </c>
      <c r="I1067" s="406" t="s">
        <v>383</v>
      </c>
      <c r="J1067" s="345" t="s">
        <v>420</v>
      </c>
      <c r="K1067" s="362"/>
      <c r="L1067" s="407"/>
      <c r="M1067" s="408" t="s">
        <v>383</v>
      </c>
      <c r="N1067" s="345" t="s">
        <v>332</v>
      </c>
      <c r="O1067" s="346"/>
      <c r="P1067" s="346"/>
      <c r="Q1067" s="346"/>
      <c r="R1067" s="346"/>
      <c r="S1067" s="346"/>
      <c r="T1067" s="346"/>
      <c r="U1067" s="346"/>
      <c r="V1067" s="346"/>
      <c r="W1067" s="346"/>
      <c r="X1067" s="347"/>
      <c r="Y1067" s="154"/>
      <c r="Z1067" s="627"/>
      <c r="AA1067" s="627"/>
      <c r="AB1067" s="148"/>
      <c r="AC1067" s="678"/>
      <c r="AD1067" s="679"/>
      <c r="AE1067" s="679"/>
      <c r="AF1067" s="680"/>
      <c r="AI1067" s="109" t="str">
        <f>"55:field191:" &amp; IF(I1067="■",1,IF(M1067="■",2,0))</f>
        <v>55:field191:0</v>
      </c>
    </row>
    <row r="1068" spans="1:35" s="109" customFormat="1" ht="18.75" customHeight="1" x14ac:dyDescent="0.2">
      <c r="A1068" s="139"/>
      <c r="B1068" s="123"/>
      <c r="C1068" s="248"/>
      <c r="D1068" s="249"/>
      <c r="E1068" s="128"/>
      <c r="F1068" s="142"/>
      <c r="G1068" s="128"/>
      <c r="H1068" s="405" t="s">
        <v>122</v>
      </c>
      <c r="I1068" s="400" t="s">
        <v>383</v>
      </c>
      <c r="J1068" s="401" t="s">
        <v>250</v>
      </c>
      <c r="K1068" s="453"/>
      <c r="L1068" s="402" t="s">
        <v>383</v>
      </c>
      <c r="M1068" s="401" t="s">
        <v>267</v>
      </c>
      <c r="N1068" s="362"/>
      <c r="O1068" s="346"/>
      <c r="P1068" s="346"/>
      <c r="Q1068" s="346"/>
      <c r="R1068" s="346"/>
      <c r="S1068" s="346"/>
      <c r="T1068" s="346"/>
      <c r="U1068" s="346"/>
      <c r="V1068" s="346"/>
      <c r="W1068" s="346"/>
      <c r="X1068" s="347"/>
      <c r="Y1068" s="154"/>
      <c r="Z1068" s="627"/>
      <c r="AA1068" s="627"/>
      <c r="AB1068" s="148"/>
      <c r="AC1068" s="678"/>
      <c r="AD1068" s="679"/>
      <c r="AE1068" s="679"/>
      <c r="AF1068" s="680"/>
      <c r="AI1068" s="109" t="str">
        <f>"55:jyakuninti_uke_code:" &amp; IF(I1068="■",1,IF(L1068="■",2,0))</f>
        <v>55:jyakuninti_uke_code:0</v>
      </c>
    </row>
    <row r="1069" spans="1:35" s="109" customFormat="1" ht="18.75" customHeight="1" x14ac:dyDescent="0.2">
      <c r="A1069" s="139"/>
      <c r="B1069" s="123"/>
      <c r="C1069" s="248"/>
      <c r="D1069" s="249"/>
      <c r="E1069" s="128"/>
      <c r="F1069" s="142"/>
      <c r="G1069" s="128"/>
      <c r="H1069" s="405" t="s">
        <v>199</v>
      </c>
      <c r="I1069" s="400" t="s">
        <v>383</v>
      </c>
      <c r="J1069" s="401" t="s">
        <v>250</v>
      </c>
      <c r="K1069" s="453"/>
      <c r="L1069" s="402" t="s">
        <v>383</v>
      </c>
      <c r="M1069" s="401" t="s">
        <v>267</v>
      </c>
      <c r="N1069" s="362"/>
      <c r="O1069" s="346"/>
      <c r="P1069" s="346"/>
      <c r="Q1069" s="346"/>
      <c r="R1069" s="346"/>
      <c r="S1069" s="346"/>
      <c r="T1069" s="346"/>
      <c r="U1069" s="346"/>
      <c r="V1069" s="346"/>
      <c r="W1069" s="346"/>
      <c r="X1069" s="347"/>
      <c r="Y1069" s="154"/>
      <c r="Z1069" s="627"/>
      <c r="AA1069" s="627"/>
      <c r="AB1069" s="148"/>
      <c r="AC1069" s="678"/>
      <c r="AD1069" s="679"/>
      <c r="AE1069" s="679"/>
      <c r="AF1069" s="680"/>
      <c r="AI1069" s="109" t="str">
        <f>"55:field207:" &amp; IF(I1069="■",1,IF(L1069="■",2,0))</f>
        <v>55:field207:0</v>
      </c>
    </row>
    <row r="1070" spans="1:35" s="109" customFormat="1" ht="18.75" customHeight="1" x14ac:dyDescent="0.2">
      <c r="A1070" s="139"/>
      <c r="B1070" s="123"/>
      <c r="C1070" s="248"/>
      <c r="D1070" s="249"/>
      <c r="E1070" s="128"/>
      <c r="F1070" s="142"/>
      <c r="G1070" s="128"/>
      <c r="H1070" s="405" t="s">
        <v>112</v>
      </c>
      <c r="I1070" s="400" t="s">
        <v>383</v>
      </c>
      <c r="J1070" s="401" t="s">
        <v>250</v>
      </c>
      <c r="K1070" s="453"/>
      <c r="L1070" s="402" t="s">
        <v>383</v>
      </c>
      <c r="M1070" s="401" t="s">
        <v>267</v>
      </c>
      <c r="N1070" s="362"/>
      <c r="O1070" s="346"/>
      <c r="P1070" s="346"/>
      <c r="Q1070" s="346"/>
      <c r="R1070" s="346"/>
      <c r="S1070" s="346"/>
      <c r="T1070" s="346"/>
      <c r="U1070" s="346"/>
      <c r="V1070" s="346"/>
      <c r="W1070" s="346"/>
      <c r="X1070" s="347"/>
      <c r="Y1070" s="154"/>
      <c r="Z1070" s="627"/>
      <c r="AA1070" s="627"/>
      <c r="AB1070" s="148"/>
      <c r="AC1070" s="678"/>
      <c r="AD1070" s="679"/>
      <c r="AE1070" s="679"/>
      <c r="AF1070" s="680"/>
      <c r="AI1070" s="109" t="str">
        <f>"55:ryouyoushoku_code:" &amp; IF(I1070="■",1,IF(L1070="■",2,0))</f>
        <v>55:ryouyoushoku_code:0</v>
      </c>
    </row>
    <row r="1071" spans="1:35" s="109" customFormat="1" ht="18.75" customHeight="1" x14ac:dyDescent="0.2">
      <c r="A1071" s="139"/>
      <c r="B1071" s="123"/>
      <c r="C1071" s="248"/>
      <c r="D1071" s="249"/>
      <c r="E1071" s="128"/>
      <c r="F1071" s="142"/>
      <c r="G1071" s="128"/>
      <c r="H1071" s="405" t="s">
        <v>116</v>
      </c>
      <c r="I1071" s="406" t="s">
        <v>383</v>
      </c>
      <c r="J1071" s="345" t="s">
        <v>250</v>
      </c>
      <c r="K1071" s="345"/>
      <c r="L1071" s="408" t="s">
        <v>383</v>
      </c>
      <c r="M1071" s="345" t="s">
        <v>251</v>
      </c>
      <c r="N1071" s="345"/>
      <c r="O1071" s="408" t="s">
        <v>383</v>
      </c>
      <c r="P1071" s="345" t="s">
        <v>252</v>
      </c>
      <c r="Q1071" s="346"/>
      <c r="R1071" s="362"/>
      <c r="S1071" s="346"/>
      <c r="T1071" s="346"/>
      <c r="U1071" s="346"/>
      <c r="V1071" s="346"/>
      <c r="W1071" s="346"/>
      <c r="X1071" s="347"/>
      <c r="Y1071" s="154"/>
      <c r="Z1071" s="627"/>
      <c r="AA1071" s="627"/>
      <c r="AB1071" s="148"/>
      <c r="AC1071" s="678"/>
      <c r="AD1071" s="679"/>
      <c r="AE1071" s="679"/>
      <c r="AF1071" s="680"/>
      <c r="AI1071" s="109" t="str">
        <f>"55:ninti_senmoncare_code:" &amp; IF(I1071="■",1,IF(O1071="■",3,IF(L1071="■",2,0)))</f>
        <v>55:ninti_senmoncare_code:0</v>
      </c>
    </row>
    <row r="1072" spans="1:35" s="109" customFormat="1" ht="18.75" customHeight="1" x14ac:dyDescent="0.2">
      <c r="A1072" s="139"/>
      <c r="B1072" s="123"/>
      <c r="C1072" s="248"/>
      <c r="D1072" s="249"/>
      <c r="E1072" s="128"/>
      <c r="F1072" s="142"/>
      <c r="G1072" s="128"/>
      <c r="H1072" s="405" t="s">
        <v>447</v>
      </c>
      <c r="I1072" s="406" t="s">
        <v>383</v>
      </c>
      <c r="J1072" s="345" t="s">
        <v>250</v>
      </c>
      <c r="K1072" s="345"/>
      <c r="L1072" s="408" t="s">
        <v>383</v>
      </c>
      <c r="M1072" s="345" t="s">
        <v>251</v>
      </c>
      <c r="N1072" s="345"/>
      <c r="O1072" s="408" t="s">
        <v>383</v>
      </c>
      <c r="P1072" s="345" t="s">
        <v>252</v>
      </c>
      <c r="Q1072" s="362"/>
      <c r="R1072" s="362"/>
      <c r="S1072" s="362"/>
      <c r="T1072" s="362"/>
      <c r="U1072" s="362"/>
      <c r="V1072" s="362"/>
      <c r="W1072" s="362"/>
      <c r="X1072" s="363"/>
      <c r="Y1072" s="154"/>
      <c r="Z1072" s="627"/>
      <c r="AA1072" s="627"/>
      <c r="AB1072" s="148"/>
      <c r="AC1072" s="678"/>
      <c r="AD1072" s="679"/>
      <c r="AE1072" s="679"/>
      <c r="AF1072" s="680"/>
      <c r="AI1072" s="109" t="str">
        <f>"55:field228:" &amp; IF(I1072="■",1,IF(L1072="■",2,IF(O1072="■",3,0)))</f>
        <v>55:field228:0</v>
      </c>
    </row>
    <row r="1073" spans="1:35" s="109" customFormat="1" ht="18.75" customHeight="1" x14ac:dyDescent="0.2">
      <c r="A1073" s="139"/>
      <c r="B1073" s="123"/>
      <c r="C1073" s="248"/>
      <c r="D1073" s="249"/>
      <c r="E1073" s="128"/>
      <c r="F1073" s="142"/>
      <c r="G1073" s="128"/>
      <c r="H1073" s="405" t="s">
        <v>221</v>
      </c>
      <c r="I1073" s="406" t="s">
        <v>383</v>
      </c>
      <c r="J1073" s="345" t="s">
        <v>250</v>
      </c>
      <c r="K1073" s="345"/>
      <c r="L1073" s="408" t="s">
        <v>383</v>
      </c>
      <c r="M1073" s="345" t="s">
        <v>251</v>
      </c>
      <c r="N1073" s="345"/>
      <c r="O1073" s="408" t="s">
        <v>383</v>
      </c>
      <c r="P1073" s="345" t="s">
        <v>252</v>
      </c>
      <c r="Q1073" s="346"/>
      <c r="R1073" s="345"/>
      <c r="S1073" s="430"/>
      <c r="T1073" s="430"/>
      <c r="U1073" s="430"/>
      <c r="V1073" s="430"/>
      <c r="W1073" s="430"/>
      <c r="X1073" s="431"/>
      <c r="Y1073" s="154"/>
      <c r="Z1073" s="627"/>
      <c r="AA1073" s="627"/>
      <c r="AB1073" s="148"/>
      <c r="AC1073" s="678"/>
      <c r="AD1073" s="679"/>
      <c r="AE1073" s="679"/>
      <c r="AF1073" s="680"/>
      <c r="AI1073" s="109" t="str">
        <f>"55:field164:" &amp; IF(I1073="■",1,IF(L1073="■",2,IF(O1073="■",3,0)))</f>
        <v>55:field164:0</v>
      </c>
    </row>
    <row r="1074" spans="1:35" s="109" customFormat="1" ht="18.75" customHeight="1" x14ac:dyDescent="0.2">
      <c r="A1074" s="139"/>
      <c r="B1074" s="123"/>
      <c r="C1074" s="248"/>
      <c r="D1074" s="249"/>
      <c r="E1074" s="128"/>
      <c r="F1074" s="142"/>
      <c r="G1074" s="128"/>
      <c r="H1074" s="405" t="s">
        <v>461</v>
      </c>
      <c r="I1074" s="406" t="s">
        <v>383</v>
      </c>
      <c r="J1074" s="345" t="s">
        <v>250</v>
      </c>
      <c r="K1074" s="345"/>
      <c r="L1074" s="408" t="s">
        <v>383</v>
      </c>
      <c r="M1074" s="401" t="s">
        <v>267</v>
      </c>
      <c r="N1074" s="345"/>
      <c r="O1074" s="345"/>
      <c r="P1074" s="345"/>
      <c r="Q1074" s="362"/>
      <c r="R1074" s="362"/>
      <c r="S1074" s="362"/>
      <c r="T1074" s="362"/>
      <c r="U1074" s="362"/>
      <c r="V1074" s="362"/>
      <c r="W1074" s="362"/>
      <c r="X1074" s="363"/>
      <c r="Y1074" s="154"/>
      <c r="Z1074" s="627"/>
      <c r="AA1074" s="627"/>
      <c r="AB1074" s="148"/>
      <c r="AC1074" s="678"/>
      <c r="AD1074" s="679"/>
      <c r="AE1074" s="679"/>
      <c r="AF1074" s="680"/>
      <c r="AI1074" s="109" t="str">
        <f>"55:field226:" &amp; IF(I1074="■",1,IF(L1074="■",2,0))</f>
        <v>55:field226:0</v>
      </c>
    </row>
    <row r="1075" spans="1:35" s="109" customFormat="1" ht="18.75" customHeight="1" x14ac:dyDescent="0.2">
      <c r="A1075" s="139"/>
      <c r="B1075" s="123"/>
      <c r="C1075" s="248"/>
      <c r="D1075" s="249"/>
      <c r="E1075" s="128"/>
      <c r="F1075" s="142"/>
      <c r="G1075" s="128"/>
      <c r="H1075" s="405" t="s">
        <v>462</v>
      </c>
      <c r="I1075" s="406" t="s">
        <v>383</v>
      </c>
      <c r="J1075" s="345" t="s">
        <v>250</v>
      </c>
      <c r="K1075" s="345"/>
      <c r="L1075" s="408" t="s">
        <v>383</v>
      </c>
      <c r="M1075" s="401" t="s">
        <v>267</v>
      </c>
      <c r="N1075" s="345"/>
      <c r="O1075" s="345"/>
      <c r="P1075" s="345"/>
      <c r="Q1075" s="362"/>
      <c r="R1075" s="362"/>
      <c r="S1075" s="362"/>
      <c r="T1075" s="362"/>
      <c r="U1075" s="362"/>
      <c r="V1075" s="362"/>
      <c r="W1075" s="362"/>
      <c r="X1075" s="363"/>
      <c r="Y1075" s="154"/>
      <c r="Z1075" s="627"/>
      <c r="AA1075" s="627"/>
      <c r="AB1075" s="148"/>
      <c r="AC1075" s="678"/>
      <c r="AD1075" s="679"/>
      <c r="AE1075" s="679"/>
      <c r="AF1075" s="680"/>
      <c r="AI1075" s="109" t="str">
        <f>"55:field227:" &amp; IF(I1075="■",1,IF(L1075="■",2,0))</f>
        <v>55:field227:0</v>
      </c>
    </row>
    <row r="1076" spans="1:35" s="109" customFormat="1" ht="18.75" customHeight="1" x14ac:dyDescent="0.2">
      <c r="A1076" s="139"/>
      <c r="B1076" s="123"/>
      <c r="C1076" s="248"/>
      <c r="D1076" s="249"/>
      <c r="E1076" s="128"/>
      <c r="F1076" s="142"/>
      <c r="G1076" s="128"/>
      <c r="H1076" s="423" t="s">
        <v>442</v>
      </c>
      <c r="I1076" s="406" t="s">
        <v>383</v>
      </c>
      <c r="J1076" s="345" t="s">
        <v>250</v>
      </c>
      <c r="K1076" s="345"/>
      <c r="L1076" s="408" t="s">
        <v>383</v>
      </c>
      <c r="M1076" s="345" t="s">
        <v>251</v>
      </c>
      <c r="N1076" s="345"/>
      <c r="O1076" s="408" t="s">
        <v>383</v>
      </c>
      <c r="P1076" s="345" t="s">
        <v>252</v>
      </c>
      <c r="Q1076" s="346"/>
      <c r="R1076" s="346"/>
      <c r="S1076" s="346"/>
      <c r="T1076" s="346"/>
      <c r="U1076" s="424"/>
      <c r="V1076" s="424"/>
      <c r="W1076" s="424"/>
      <c r="X1076" s="425"/>
      <c r="Y1076" s="154"/>
      <c r="Z1076" s="627"/>
      <c r="AA1076" s="627"/>
      <c r="AB1076" s="148"/>
      <c r="AC1076" s="678"/>
      <c r="AD1076" s="679"/>
      <c r="AE1076" s="679"/>
      <c r="AF1076" s="680"/>
      <c r="AI1076" s="109" t="str">
        <f>"55:field225:" &amp; IF(I1076="■",1,IF(L1076="■",2,IF(O1076="■",3,0)))</f>
        <v>55:field225:0</v>
      </c>
    </row>
    <row r="1077" spans="1:35" s="109" customFormat="1" ht="18.75" customHeight="1" x14ac:dyDescent="0.2">
      <c r="A1077" s="139"/>
      <c r="B1077" s="123"/>
      <c r="C1077" s="248"/>
      <c r="D1077" s="249"/>
      <c r="E1077" s="128"/>
      <c r="F1077" s="142"/>
      <c r="G1077" s="128"/>
      <c r="H1077" s="405" t="s">
        <v>118</v>
      </c>
      <c r="I1077" s="406" t="s">
        <v>383</v>
      </c>
      <c r="J1077" s="345" t="s">
        <v>250</v>
      </c>
      <c r="K1077" s="345"/>
      <c r="L1077" s="408" t="s">
        <v>383</v>
      </c>
      <c r="M1077" s="345" t="s">
        <v>258</v>
      </c>
      <c r="N1077" s="345"/>
      <c r="O1077" s="408" t="s">
        <v>383</v>
      </c>
      <c r="P1077" s="345" t="s">
        <v>259</v>
      </c>
      <c r="Q1077" s="430"/>
      <c r="R1077" s="408" t="s">
        <v>383</v>
      </c>
      <c r="S1077" s="345" t="s">
        <v>283</v>
      </c>
      <c r="T1077" s="345"/>
      <c r="U1077" s="345"/>
      <c r="V1077" s="430"/>
      <c r="W1077" s="430"/>
      <c r="X1077" s="431"/>
      <c r="Y1077" s="154"/>
      <c r="Z1077" s="627"/>
      <c r="AA1077" s="627"/>
      <c r="AB1077" s="148"/>
      <c r="AC1077" s="678"/>
      <c r="AD1077" s="679"/>
      <c r="AE1077" s="679"/>
      <c r="AF1077" s="680"/>
      <c r="AI1077" s="109" t="str">
        <f>"55:serteikyo_kyoka_code:" &amp; IF(I1077="■",1,IF(L1077="■",6,IF(O1077="■",5,IF(R1077="■",7,0))))</f>
        <v>55:serteikyo_kyoka_code:0</v>
      </c>
    </row>
    <row r="1078" spans="1:35" s="621" customFormat="1" ht="18.75" customHeight="1" x14ac:dyDescent="0.2">
      <c r="A1078" s="139"/>
      <c r="B1078" s="670"/>
      <c r="C1078" s="248"/>
      <c r="D1078" s="249"/>
      <c r="E1078" s="128"/>
      <c r="F1078" s="142"/>
      <c r="G1078" s="143"/>
      <c r="H1078" s="713" t="s">
        <v>790</v>
      </c>
      <c r="I1078" s="642" t="s">
        <v>383</v>
      </c>
      <c r="J1078" s="616" t="s">
        <v>627</v>
      </c>
      <c r="K1078" s="616"/>
      <c r="L1078" s="615"/>
      <c r="M1078" s="644" t="s">
        <v>383</v>
      </c>
      <c r="N1078" s="616" t="s">
        <v>791</v>
      </c>
      <c r="O1078" s="617"/>
      <c r="P1078" s="615"/>
      <c r="Q1078" s="644" t="s">
        <v>383</v>
      </c>
      <c r="R1078" s="618" t="s">
        <v>802</v>
      </c>
      <c r="S1078" s="615"/>
      <c r="T1078" s="615"/>
      <c r="U1078" s="615"/>
      <c r="V1078" s="618"/>
      <c r="W1078" s="619"/>
      <c r="X1078" s="620"/>
      <c r="Y1078" s="154"/>
      <c r="Z1078" s="627"/>
      <c r="AA1078" s="627"/>
      <c r="AB1078" s="148"/>
      <c r="AC1078" s="678"/>
      <c r="AD1078" s="679"/>
      <c r="AE1078" s="679"/>
      <c r="AF1078" s="680"/>
    </row>
    <row r="1079" spans="1:35" s="621" customFormat="1" ht="18.75" customHeight="1" x14ac:dyDescent="0.2">
      <c r="A1079" s="183"/>
      <c r="B1079" s="658"/>
      <c r="C1079" s="985"/>
      <c r="D1079" s="986"/>
      <c r="E1079" s="187"/>
      <c r="F1079" s="188"/>
      <c r="G1079" s="189"/>
      <c r="H1079" s="714"/>
      <c r="I1079" s="643" t="s">
        <v>383</v>
      </c>
      <c r="J1079" s="623" t="s">
        <v>803</v>
      </c>
      <c r="K1079" s="623"/>
      <c r="L1079" s="622"/>
      <c r="M1079" s="211" t="s">
        <v>383</v>
      </c>
      <c r="N1079" s="623" t="s">
        <v>804</v>
      </c>
      <c r="O1079" s="624"/>
      <c r="P1079" s="622"/>
      <c r="Q1079" s="211" t="s">
        <v>383</v>
      </c>
      <c r="R1079" s="623" t="s">
        <v>795</v>
      </c>
      <c r="S1079" s="622"/>
      <c r="T1079" s="623"/>
      <c r="U1079" s="211" t="s">
        <v>383</v>
      </c>
      <c r="V1079" s="623" t="s">
        <v>796</v>
      </c>
      <c r="W1079" s="625"/>
      <c r="X1079" s="626"/>
      <c r="Y1079" s="194"/>
      <c r="Z1079" s="192"/>
      <c r="AA1079" s="192"/>
      <c r="AB1079" s="193"/>
      <c r="AC1079" s="722"/>
      <c r="AD1079" s="723"/>
      <c r="AE1079" s="723"/>
      <c r="AF1079" s="724"/>
    </row>
    <row r="1080" spans="1:35" s="109" customFormat="1" ht="20.25" customHeight="1" x14ac:dyDescent="0.2">
      <c r="A1080" s="110"/>
      <c r="B1080" s="110"/>
      <c r="C1080" s="108"/>
      <c r="D1080" s="108"/>
      <c r="E1080" s="108"/>
      <c r="F1080" s="108"/>
      <c r="G1080" s="108"/>
      <c r="H1080" s="108"/>
      <c r="I1080" s="108"/>
      <c r="J1080" s="108"/>
      <c r="K1080" s="108"/>
      <c r="L1080" s="108"/>
      <c r="M1080" s="108"/>
      <c r="N1080" s="108"/>
      <c r="O1080" s="108"/>
      <c r="P1080" s="108"/>
      <c r="Q1080" s="108"/>
      <c r="R1080" s="108"/>
      <c r="S1080" s="108"/>
      <c r="T1080" s="108"/>
      <c r="U1080" s="108"/>
      <c r="V1080" s="108"/>
      <c r="W1080" s="108"/>
      <c r="X1080" s="108"/>
      <c r="Y1080" s="108"/>
      <c r="Z1080" s="108"/>
      <c r="AA1080" s="108"/>
      <c r="AB1080" s="108"/>
      <c r="AC1080" s="108"/>
      <c r="AD1080" s="108"/>
      <c r="AE1080" s="108"/>
      <c r="AF1080" s="108"/>
    </row>
    <row r="1081" spans="1:35" s="109" customFormat="1" ht="36" customHeight="1" x14ac:dyDescent="0.2">
      <c r="A1081" s="681" t="s">
        <v>778</v>
      </c>
      <c r="B1081" s="681"/>
      <c r="C1081" s="681"/>
      <c r="D1081" s="681"/>
      <c r="E1081" s="681"/>
      <c r="F1081" s="681"/>
      <c r="G1081" s="681"/>
      <c r="H1081" s="681"/>
      <c r="I1081" s="681"/>
      <c r="J1081" s="681"/>
      <c r="K1081" s="681"/>
      <c r="L1081" s="681"/>
      <c r="M1081" s="681"/>
      <c r="N1081" s="681"/>
      <c r="O1081" s="681"/>
      <c r="P1081" s="681"/>
      <c r="Q1081" s="681"/>
      <c r="R1081" s="681"/>
      <c r="S1081" s="681"/>
      <c r="T1081" s="681"/>
      <c r="U1081" s="681"/>
      <c r="V1081" s="681"/>
      <c r="W1081" s="681"/>
      <c r="X1081" s="681"/>
      <c r="Y1081" s="681"/>
      <c r="Z1081" s="681"/>
      <c r="AA1081" s="681"/>
      <c r="AB1081" s="681"/>
      <c r="AC1081" s="681"/>
      <c r="AD1081" s="681"/>
      <c r="AE1081" s="681"/>
      <c r="AF1081" s="681"/>
    </row>
    <row r="1082" spans="1:35" s="109" customFormat="1" ht="20.25" customHeight="1" x14ac:dyDescent="0.2">
      <c r="A1082" s="110"/>
      <c r="B1082" s="110"/>
      <c r="C1082" s="108"/>
      <c r="D1082" s="108"/>
      <c r="E1082" s="108"/>
      <c r="F1082" s="108"/>
      <c r="G1082" s="108"/>
      <c r="H1082" s="108"/>
      <c r="I1082" s="108"/>
      <c r="J1082" s="108"/>
      <c r="K1082" s="108"/>
      <c r="L1082" s="108"/>
      <c r="M1082" s="108"/>
      <c r="N1082" s="108"/>
      <c r="O1082" s="108"/>
      <c r="P1082" s="108"/>
      <c r="Q1082" s="108"/>
      <c r="R1082" s="108"/>
      <c r="S1082" s="108"/>
      <c r="T1082" s="108"/>
      <c r="U1082" s="108"/>
      <c r="V1082" s="108"/>
      <c r="W1082" s="108"/>
      <c r="X1082" s="108"/>
      <c r="Y1082" s="108"/>
      <c r="Z1082" s="108"/>
      <c r="AA1082" s="108"/>
      <c r="AB1082" s="108"/>
      <c r="AC1082" s="108"/>
      <c r="AD1082" s="108"/>
      <c r="AE1082" s="108"/>
      <c r="AF1082" s="108"/>
      <c r="AG1082" s="109" t="s">
        <v>779</v>
      </c>
    </row>
    <row r="1083" spans="1:35" s="109" customFormat="1" ht="30" customHeight="1" x14ac:dyDescent="0.2">
      <c r="A1083" s="685" t="s">
        <v>787</v>
      </c>
      <c r="B1083" s="686"/>
      <c r="C1083" s="686"/>
      <c r="D1083" s="686"/>
      <c r="E1083" s="687"/>
      <c r="F1083" s="685" t="s">
        <v>788</v>
      </c>
      <c r="G1083" s="686"/>
      <c r="H1083" s="686"/>
      <c r="I1083" s="686"/>
      <c r="J1083" s="687"/>
      <c r="K1083" s="688" t="s">
        <v>789</v>
      </c>
      <c r="L1083" s="689"/>
      <c r="M1083" s="689"/>
      <c r="N1083" s="689"/>
      <c r="O1083" s="689"/>
      <c r="P1083" s="689"/>
      <c r="Q1083" s="689"/>
      <c r="R1083" s="690"/>
      <c r="S1083" s="682" t="s">
        <v>84</v>
      </c>
      <c r="T1083" s="683"/>
      <c r="U1083" s="683"/>
      <c r="V1083" s="684"/>
      <c r="W1083" s="274"/>
      <c r="X1083" s="275"/>
      <c r="Y1083" s="275"/>
      <c r="Z1083" s="275"/>
      <c r="AA1083" s="275"/>
      <c r="AB1083" s="275"/>
      <c r="AC1083" s="275"/>
      <c r="AD1083" s="275"/>
      <c r="AE1083" s="275"/>
      <c r="AF1083" s="111"/>
      <c r="AG1083" s="109" t="str">
        <f>"kaigo_num='" &amp;W1083&amp;X1083&amp;Y1083&amp;Z1083&amp;AA1083&amp;AB1083&amp;AC1083&amp;AD1083&amp;AE1083&amp;AF1083&amp; "'"</f>
        <v>kaigo_num=''</v>
      </c>
    </row>
    <row r="1084" spans="1:35" s="109" customFormat="1" ht="20.25" customHeight="1" x14ac:dyDescent="0.2">
      <c r="A1084" s="110"/>
      <c r="B1084" s="110"/>
      <c r="C1084" s="108"/>
      <c r="D1084" s="108"/>
      <c r="E1084" s="108"/>
      <c r="F1084" s="108"/>
      <c r="G1084" s="108"/>
      <c r="H1084" s="108"/>
      <c r="I1084" s="108"/>
      <c r="J1084" s="108"/>
      <c r="K1084" s="108"/>
      <c r="L1084" s="108"/>
      <c r="M1084" s="108"/>
      <c r="N1084" s="108"/>
      <c r="O1084" s="108"/>
      <c r="P1084" s="108"/>
      <c r="Q1084" s="108"/>
      <c r="R1084" s="108"/>
      <c r="S1084" s="108"/>
      <c r="T1084" s="108"/>
      <c r="U1084" s="108"/>
      <c r="V1084" s="108"/>
      <c r="W1084" s="108"/>
      <c r="X1084" s="108"/>
      <c r="Y1084" s="108"/>
      <c r="Z1084" s="108"/>
      <c r="AA1084" s="108"/>
      <c r="AB1084" s="108"/>
      <c r="AC1084" s="108"/>
      <c r="AD1084" s="108"/>
      <c r="AE1084" s="108"/>
      <c r="AF1084" s="108"/>
    </row>
    <row r="1085" spans="1:35" s="109" customFormat="1" ht="18" customHeight="1" x14ac:dyDescent="0.2">
      <c r="A1085" s="682" t="s">
        <v>85</v>
      </c>
      <c r="B1085" s="683"/>
      <c r="C1085" s="684"/>
      <c r="D1085" s="682" t="s">
        <v>1</v>
      </c>
      <c r="E1085" s="684"/>
      <c r="F1085" s="682" t="s">
        <v>86</v>
      </c>
      <c r="G1085" s="684"/>
      <c r="H1085" s="682" t="s">
        <v>179</v>
      </c>
      <c r="I1085" s="683"/>
      <c r="J1085" s="683"/>
      <c r="K1085" s="683"/>
      <c r="L1085" s="683"/>
      <c r="M1085" s="683"/>
      <c r="N1085" s="683"/>
      <c r="O1085" s="683"/>
      <c r="P1085" s="683"/>
      <c r="Q1085" s="683"/>
      <c r="R1085" s="683"/>
      <c r="S1085" s="683"/>
      <c r="T1085" s="683"/>
      <c r="U1085" s="683"/>
      <c r="V1085" s="683"/>
      <c r="W1085" s="683"/>
      <c r="X1085" s="683"/>
      <c r="Y1085" s="683"/>
      <c r="Z1085" s="683"/>
      <c r="AA1085" s="683"/>
      <c r="AB1085" s="683"/>
      <c r="AC1085" s="683"/>
      <c r="AD1085" s="683"/>
      <c r="AE1085" s="683"/>
      <c r="AF1085" s="684"/>
    </row>
    <row r="1086" spans="1:35" s="109" customFormat="1" ht="18.75" customHeight="1" x14ac:dyDescent="0.2">
      <c r="A1086" s="699" t="s">
        <v>88</v>
      </c>
      <c r="B1086" s="700"/>
      <c r="C1086" s="701"/>
      <c r="D1086" s="115"/>
      <c r="E1086" s="225"/>
      <c r="F1086" s="131"/>
      <c r="G1086" s="225"/>
      <c r="H1086" s="705" t="s">
        <v>89</v>
      </c>
      <c r="I1086" s="118" t="s">
        <v>383</v>
      </c>
      <c r="J1086" s="119" t="s">
        <v>238</v>
      </c>
      <c r="K1086" s="120"/>
      <c r="L1086" s="120"/>
      <c r="M1086" s="118" t="s">
        <v>383</v>
      </c>
      <c r="N1086" s="119" t="s">
        <v>239</v>
      </c>
      <c r="O1086" s="120"/>
      <c r="P1086" s="120"/>
      <c r="Q1086" s="118" t="s">
        <v>383</v>
      </c>
      <c r="R1086" s="119" t="s">
        <v>240</v>
      </c>
      <c r="S1086" s="120"/>
      <c r="T1086" s="120"/>
      <c r="U1086" s="118" t="s">
        <v>383</v>
      </c>
      <c r="V1086" s="119" t="s">
        <v>241</v>
      </c>
      <c r="W1086" s="120"/>
      <c r="X1086" s="120"/>
      <c r="Y1086" s="119"/>
      <c r="Z1086" s="119"/>
      <c r="AA1086" s="119"/>
      <c r="AB1086" s="119"/>
      <c r="AC1086" s="119"/>
      <c r="AD1086" s="119"/>
      <c r="AE1086" s="119"/>
      <c r="AF1086" s="133"/>
      <c r="AG1086" s="109" t="str">
        <f>"tiikikbn_code:"&amp; IF(I1086="■",1,IF(M1086="■",6,IF(Q1086="■",7,IF(U1086="■",2,IF(I1087="■",3,IF(M1087="■",4,IF(Q1087="■",9,IF(U1087="■",5,0))))))))</f>
        <v>tiikikbn_code:0</v>
      </c>
    </row>
    <row r="1087" spans="1:35" s="109" customFormat="1" ht="18.75" customHeight="1" x14ac:dyDescent="0.2">
      <c r="A1087" s="783"/>
      <c r="B1087" s="784"/>
      <c r="C1087" s="785"/>
      <c r="D1087" s="276"/>
      <c r="E1087" s="228"/>
      <c r="F1087" s="186"/>
      <c r="G1087" s="228"/>
      <c r="H1087" s="786"/>
      <c r="I1087" s="277" t="s">
        <v>383</v>
      </c>
      <c r="J1087" s="231" t="s">
        <v>242</v>
      </c>
      <c r="K1087" s="278"/>
      <c r="L1087" s="278"/>
      <c r="M1087" s="118" t="s">
        <v>383</v>
      </c>
      <c r="N1087" s="231" t="s">
        <v>243</v>
      </c>
      <c r="O1087" s="278"/>
      <c r="P1087" s="278"/>
      <c r="Q1087" s="118" t="s">
        <v>383</v>
      </c>
      <c r="R1087" s="231" t="s">
        <v>244</v>
      </c>
      <c r="S1087" s="278"/>
      <c r="T1087" s="278"/>
      <c r="U1087" s="118" t="s">
        <v>383</v>
      </c>
      <c r="V1087" s="231" t="s">
        <v>245</v>
      </c>
      <c r="W1087" s="278"/>
      <c r="X1087" s="278"/>
      <c r="Y1087" s="265"/>
      <c r="Z1087" s="265"/>
      <c r="AA1087" s="265"/>
      <c r="AB1087" s="265"/>
      <c r="AC1087" s="265"/>
      <c r="AD1087" s="265"/>
      <c r="AE1087" s="265"/>
      <c r="AF1087" s="228"/>
    </row>
    <row r="1088" spans="1:35" s="109" customFormat="1" ht="18.75" customHeight="1" x14ac:dyDescent="0.2">
      <c r="A1088" s="129"/>
      <c r="B1088" s="116"/>
      <c r="C1088" s="130"/>
      <c r="D1088" s="131"/>
      <c r="E1088" s="121"/>
      <c r="F1088" s="132"/>
      <c r="G1088" s="133"/>
      <c r="H1088" s="787" t="s">
        <v>134</v>
      </c>
      <c r="I1088" s="138" t="s">
        <v>383</v>
      </c>
      <c r="J1088" s="119" t="s">
        <v>248</v>
      </c>
      <c r="K1088" s="279"/>
      <c r="L1088" s="279"/>
      <c r="M1088" s="279"/>
      <c r="N1088" s="279"/>
      <c r="O1088" s="279"/>
      <c r="P1088" s="279"/>
      <c r="Q1088" s="279"/>
      <c r="R1088" s="279"/>
      <c r="S1088" s="279"/>
      <c r="T1088" s="279"/>
      <c r="U1088" s="279"/>
      <c r="V1088" s="279"/>
      <c r="W1088" s="279"/>
      <c r="X1088" s="279"/>
      <c r="Y1088" s="279"/>
      <c r="Z1088" s="279"/>
      <c r="AA1088" s="279"/>
      <c r="AB1088" s="279"/>
      <c r="AC1088" s="279"/>
      <c r="AD1088" s="279"/>
      <c r="AE1088" s="279"/>
      <c r="AF1088" s="280"/>
      <c r="AG1088" s="109" t="str">
        <f>"ser_code = '" &amp; IF(A1099="■","11S","") &amp; "'"</f>
        <v>ser_code = ''</v>
      </c>
      <c r="AI1088" s="109" t="str">
        <f>"11S:sintaikaigo_taisei_code:" &amp; IF(I1088="■",1,IF(I1089="■",2,IF(I1090="■",3,0)))</f>
        <v>11S:sintaikaigo_taisei_code:0</v>
      </c>
    </row>
    <row r="1089" spans="1:35" s="109" customFormat="1" ht="18.75" customHeight="1" x14ac:dyDescent="0.2">
      <c r="A1089" s="139"/>
      <c r="B1089" s="123"/>
      <c r="C1089" s="140"/>
      <c r="D1089" s="141"/>
      <c r="E1089" s="128"/>
      <c r="F1089" s="142"/>
      <c r="G1089" s="143"/>
      <c r="H1089" s="788"/>
      <c r="I1089" s="125" t="s">
        <v>383</v>
      </c>
      <c r="J1089" s="108" t="s">
        <v>246</v>
      </c>
      <c r="K1089" s="145"/>
      <c r="L1089" s="145"/>
      <c r="M1089" s="145"/>
      <c r="N1089" s="145"/>
      <c r="O1089" s="145"/>
      <c r="P1089" s="145"/>
      <c r="Q1089" s="145"/>
      <c r="R1089" s="145"/>
      <c r="S1089" s="145"/>
      <c r="T1089" s="145"/>
      <c r="U1089" s="145"/>
      <c r="V1089" s="145"/>
      <c r="W1089" s="145"/>
      <c r="X1089" s="145"/>
      <c r="Y1089" s="145"/>
      <c r="Z1089" s="145"/>
      <c r="AA1089" s="145"/>
      <c r="AB1089" s="145"/>
      <c r="AC1089" s="145"/>
      <c r="AD1089" s="145"/>
      <c r="AE1089" s="145"/>
      <c r="AF1089" s="146"/>
      <c r="AG1089" s="109" t="str">
        <f>"11S:sisetukbn_code:" &amp; IF(AND(D1098="■",D1099="■",D1100="■"),"1;2;3",IF(AND(D1098="■",D1099="■"),"1;2",0))</f>
        <v>11S:sisetukbn_code:0</v>
      </c>
    </row>
    <row r="1090" spans="1:35" s="109" customFormat="1" ht="18.75" customHeight="1" x14ac:dyDescent="0.2">
      <c r="A1090" s="139"/>
      <c r="B1090" s="123"/>
      <c r="C1090" s="140"/>
      <c r="D1090" s="141"/>
      <c r="E1090" s="128"/>
      <c r="F1090" s="142"/>
      <c r="G1090" s="143"/>
      <c r="H1090" s="789"/>
      <c r="I1090" s="150" t="s">
        <v>383</v>
      </c>
      <c r="J1090" s="151" t="s">
        <v>247</v>
      </c>
      <c r="K1090" s="152"/>
      <c r="L1090" s="152"/>
      <c r="M1090" s="152"/>
      <c r="N1090" s="152"/>
      <c r="O1090" s="152"/>
      <c r="P1090" s="152"/>
      <c r="Q1090" s="152"/>
      <c r="R1090" s="152"/>
      <c r="S1090" s="152"/>
      <c r="T1090" s="152"/>
      <c r="U1090" s="152"/>
      <c r="V1090" s="152"/>
      <c r="W1090" s="152"/>
      <c r="X1090" s="152"/>
      <c r="Y1090" s="152"/>
      <c r="Z1090" s="152"/>
      <c r="AA1090" s="152"/>
      <c r="AB1090" s="152"/>
      <c r="AC1090" s="152"/>
      <c r="AD1090" s="152"/>
      <c r="AE1090" s="152"/>
      <c r="AF1090" s="153"/>
    </row>
    <row r="1091" spans="1:35" s="109" customFormat="1" ht="19.5" customHeight="1" x14ac:dyDescent="0.2">
      <c r="A1091" s="139"/>
      <c r="B1091" s="123"/>
      <c r="C1091" s="140"/>
      <c r="D1091" s="141"/>
      <c r="E1091" s="128"/>
      <c r="F1091" s="142"/>
      <c r="G1091" s="143"/>
      <c r="H1091" s="155" t="s">
        <v>430</v>
      </c>
      <c r="I1091" s="156" t="s">
        <v>383</v>
      </c>
      <c r="J1091" s="157" t="s">
        <v>395</v>
      </c>
      <c r="K1091" s="158"/>
      <c r="L1091" s="159"/>
      <c r="M1091" s="160" t="s">
        <v>383</v>
      </c>
      <c r="N1091" s="157" t="s">
        <v>431</v>
      </c>
      <c r="O1091" s="157"/>
      <c r="P1091" s="157"/>
      <c r="Q1091" s="162"/>
      <c r="R1091" s="162"/>
      <c r="S1091" s="162"/>
      <c r="T1091" s="162"/>
      <c r="U1091" s="162"/>
      <c r="V1091" s="162"/>
      <c r="W1091" s="162"/>
      <c r="X1091" s="162"/>
      <c r="Y1091" s="162"/>
      <c r="Z1091" s="162"/>
      <c r="AA1091" s="162"/>
      <c r="AB1091" s="162"/>
      <c r="AC1091" s="162"/>
      <c r="AD1091" s="162"/>
      <c r="AE1091" s="162"/>
      <c r="AF1091" s="148"/>
      <c r="AI1091" s="109" t="str">
        <f>"11S:field223:" &amp; IF(I1091="■",1,IF(M1091="■",2,0))</f>
        <v>11S:field223:0</v>
      </c>
    </row>
    <row r="1092" spans="1:35" s="109" customFormat="1" ht="19.5" customHeight="1" x14ac:dyDescent="0.2">
      <c r="A1092" s="139"/>
      <c r="B1092" s="123"/>
      <c r="C1092" s="140"/>
      <c r="D1092" s="141"/>
      <c r="E1092" s="128"/>
      <c r="F1092" s="142"/>
      <c r="G1092" s="143"/>
      <c r="H1092" s="348" t="s">
        <v>448</v>
      </c>
      <c r="I1092" s="349" t="s">
        <v>383</v>
      </c>
      <c r="J1092" s="350" t="s">
        <v>395</v>
      </c>
      <c r="K1092" s="351"/>
      <c r="L1092" s="352"/>
      <c r="M1092" s="353" t="s">
        <v>383</v>
      </c>
      <c r="N1092" s="350" t="s">
        <v>431</v>
      </c>
      <c r="O1092" s="354"/>
      <c r="P1092" s="350"/>
      <c r="Q1092" s="355"/>
      <c r="R1092" s="355"/>
      <c r="S1092" s="355"/>
      <c r="T1092" s="355"/>
      <c r="U1092" s="479"/>
      <c r="V1092" s="479"/>
      <c r="W1092" s="479"/>
      <c r="X1092" s="479"/>
      <c r="Y1092" s="480"/>
      <c r="Z1092" s="480"/>
      <c r="AA1092" s="480"/>
      <c r="AB1092" s="480"/>
      <c r="AC1092" s="481"/>
      <c r="AD1092" s="481"/>
      <c r="AE1092" s="481"/>
      <c r="AF1092" s="482"/>
      <c r="AI1092" s="109" t="str">
        <f>"11S:field232:" &amp; IF(I1092="■",1,IF(M1092="■",2,0))</f>
        <v>11S:field232:0</v>
      </c>
    </row>
    <row r="1093" spans="1:35" s="109" customFormat="1" ht="18.75" customHeight="1" x14ac:dyDescent="0.2">
      <c r="A1093" s="139"/>
      <c r="B1093" s="123"/>
      <c r="C1093" s="140"/>
      <c r="D1093" s="141"/>
      <c r="E1093" s="128"/>
      <c r="F1093" s="142"/>
      <c r="G1093" s="143"/>
      <c r="H1093" s="790" t="s">
        <v>157</v>
      </c>
      <c r="I1093" s="792" t="s">
        <v>383</v>
      </c>
      <c r="J1093" s="794" t="s">
        <v>250</v>
      </c>
      <c r="K1093" s="794"/>
      <c r="L1093" s="792" t="s">
        <v>383</v>
      </c>
      <c r="M1093" s="794" t="s">
        <v>267</v>
      </c>
      <c r="N1093" s="794"/>
      <c r="O1093" s="378"/>
      <c r="P1093" s="378"/>
      <c r="Q1093" s="378"/>
      <c r="R1093" s="378"/>
      <c r="S1093" s="378"/>
      <c r="T1093" s="378"/>
      <c r="U1093" s="398"/>
      <c r="V1093" s="398"/>
      <c r="W1093" s="398"/>
      <c r="X1093" s="398"/>
      <c r="Y1093" s="398"/>
      <c r="Z1093" s="398"/>
      <c r="AA1093" s="398"/>
      <c r="AB1093" s="398"/>
      <c r="AC1093" s="398"/>
      <c r="AD1093" s="398"/>
      <c r="AE1093" s="398"/>
      <c r="AF1093" s="399"/>
      <c r="AI1093" s="109" t="str">
        <f>"11S:field179:" &amp; IF(I1093="■",1,IF(L1093="■",2,0))</f>
        <v>11S:field179:0</v>
      </c>
    </row>
    <row r="1094" spans="1:35" s="109" customFormat="1" ht="18.75" customHeight="1" x14ac:dyDescent="0.2">
      <c r="A1094" s="139"/>
      <c r="B1094" s="123"/>
      <c r="C1094" s="140"/>
      <c r="D1094" s="141"/>
      <c r="E1094" s="128"/>
      <c r="F1094" s="142"/>
      <c r="G1094" s="143"/>
      <c r="H1094" s="791"/>
      <c r="I1094" s="793"/>
      <c r="J1094" s="795"/>
      <c r="K1094" s="795"/>
      <c r="L1094" s="793"/>
      <c r="M1094" s="795"/>
      <c r="N1094" s="795"/>
      <c r="O1094" s="384"/>
      <c r="P1094" s="384"/>
      <c r="Q1094" s="384"/>
      <c r="R1094" s="384"/>
      <c r="S1094" s="384"/>
      <c r="T1094" s="384"/>
      <c r="U1094" s="403"/>
      <c r="V1094" s="403"/>
      <c r="W1094" s="403"/>
      <c r="X1094" s="403"/>
      <c r="Y1094" s="403"/>
      <c r="Z1094" s="403"/>
      <c r="AA1094" s="403"/>
      <c r="AB1094" s="403"/>
      <c r="AC1094" s="403"/>
      <c r="AD1094" s="403"/>
      <c r="AE1094" s="403"/>
      <c r="AF1094" s="404"/>
    </row>
    <row r="1095" spans="1:35" s="109" customFormat="1" ht="18.75" customHeight="1" x14ac:dyDescent="0.2">
      <c r="A1095" s="139"/>
      <c r="B1095" s="123"/>
      <c r="C1095" s="140"/>
      <c r="D1095" s="141"/>
      <c r="E1095" s="128"/>
      <c r="F1095" s="142"/>
      <c r="G1095" s="143"/>
      <c r="H1095" s="790" t="s">
        <v>158</v>
      </c>
      <c r="I1095" s="792" t="s">
        <v>383</v>
      </c>
      <c r="J1095" s="794" t="s">
        <v>250</v>
      </c>
      <c r="K1095" s="794"/>
      <c r="L1095" s="792" t="s">
        <v>383</v>
      </c>
      <c r="M1095" s="794" t="s">
        <v>267</v>
      </c>
      <c r="N1095" s="794"/>
      <c r="O1095" s="378"/>
      <c r="P1095" s="378"/>
      <c r="Q1095" s="378"/>
      <c r="R1095" s="378"/>
      <c r="S1095" s="378"/>
      <c r="T1095" s="378"/>
      <c r="U1095" s="398"/>
      <c r="V1095" s="398"/>
      <c r="W1095" s="398"/>
      <c r="X1095" s="398"/>
      <c r="Y1095" s="398"/>
      <c r="Z1095" s="398"/>
      <c r="AA1095" s="398"/>
      <c r="AB1095" s="398"/>
      <c r="AC1095" s="398"/>
      <c r="AD1095" s="398"/>
      <c r="AE1095" s="398"/>
      <c r="AF1095" s="399"/>
      <c r="AI1095" s="109" t="str">
        <f>"11S:field180:" &amp; IF(I1095="■",1,IF(L1095="■",2,0))</f>
        <v>11S:field180:0</v>
      </c>
    </row>
    <row r="1096" spans="1:35" s="109" customFormat="1" ht="18.75" customHeight="1" x14ac:dyDescent="0.2">
      <c r="A1096" s="139"/>
      <c r="B1096" s="123"/>
      <c r="C1096" s="140"/>
      <c r="D1096" s="141"/>
      <c r="E1096" s="128"/>
      <c r="F1096" s="142"/>
      <c r="G1096" s="143"/>
      <c r="H1096" s="791"/>
      <c r="I1096" s="793"/>
      <c r="J1096" s="795"/>
      <c r="K1096" s="795"/>
      <c r="L1096" s="793"/>
      <c r="M1096" s="795"/>
      <c r="N1096" s="795"/>
      <c r="O1096" s="384"/>
      <c r="P1096" s="384"/>
      <c r="Q1096" s="384"/>
      <c r="R1096" s="384"/>
      <c r="S1096" s="384"/>
      <c r="T1096" s="384"/>
      <c r="U1096" s="403"/>
      <c r="V1096" s="403"/>
      <c r="W1096" s="403"/>
      <c r="X1096" s="403"/>
      <c r="Y1096" s="403"/>
      <c r="Z1096" s="403"/>
      <c r="AA1096" s="403"/>
      <c r="AB1096" s="403"/>
      <c r="AC1096" s="403"/>
      <c r="AD1096" s="403"/>
      <c r="AE1096" s="403"/>
      <c r="AF1096" s="404"/>
    </row>
    <row r="1097" spans="1:35" s="109" customFormat="1" ht="18.75" customHeight="1" x14ac:dyDescent="0.2">
      <c r="A1097" s="174"/>
      <c r="B1097" s="123"/>
      <c r="C1097" s="140"/>
      <c r="D1097" s="171"/>
      <c r="E1097" s="128"/>
      <c r="F1097" s="142"/>
      <c r="G1097" s="143"/>
      <c r="H1097" s="743" t="s">
        <v>456</v>
      </c>
      <c r="I1097" s="804" t="s">
        <v>383</v>
      </c>
      <c r="J1097" s="796" t="s">
        <v>256</v>
      </c>
      <c r="K1097" s="796"/>
      <c r="L1097" s="796"/>
      <c r="M1097" s="797" t="s">
        <v>383</v>
      </c>
      <c r="N1097" s="796" t="s">
        <v>257</v>
      </c>
      <c r="O1097" s="796"/>
      <c r="P1097" s="796"/>
      <c r="Q1097" s="798"/>
      <c r="R1097" s="798"/>
      <c r="S1097" s="798"/>
      <c r="T1097" s="798"/>
      <c r="U1097" s="800"/>
      <c r="V1097" s="800"/>
      <c r="W1097" s="800"/>
      <c r="X1097" s="800"/>
      <c r="Y1097" s="800"/>
      <c r="Z1097" s="800"/>
      <c r="AA1097" s="800"/>
      <c r="AB1097" s="800"/>
      <c r="AC1097" s="800"/>
      <c r="AD1097" s="800"/>
      <c r="AE1097" s="800"/>
      <c r="AF1097" s="802"/>
      <c r="AI1097" s="109" t="str">
        <f>"11S:field233:" &amp; IF(I1097="■",1,IF(M1097="■",2,0))</f>
        <v>11S:field233:0</v>
      </c>
    </row>
    <row r="1098" spans="1:35" s="109" customFormat="1" ht="19.5" customHeight="1" x14ac:dyDescent="0.2">
      <c r="A1098" s="139"/>
      <c r="B1098" s="123"/>
      <c r="C1098" s="140"/>
      <c r="D1098" s="125" t="s">
        <v>383</v>
      </c>
      <c r="E1098" s="128" t="s">
        <v>262</v>
      </c>
      <c r="F1098" s="142"/>
      <c r="G1098" s="143"/>
      <c r="H1098" s="744"/>
      <c r="I1098" s="805"/>
      <c r="J1098" s="795"/>
      <c r="K1098" s="795"/>
      <c r="L1098" s="795"/>
      <c r="M1098" s="793"/>
      <c r="N1098" s="795"/>
      <c r="O1098" s="795"/>
      <c r="P1098" s="795"/>
      <c r="Q1098" s="799"/>
      <c r="R1098" s="799"/>
      <c r="S1098" s="799"/>
      <c r="T1098" s="799"/>
      <c r="U1098" s="801"/>
      <c r="V1098" s="801"/>
      <c r="W1098" s="801"/>
      <c r="X1098" s="801"/>
      <c r="Y1098" s="801"/>
      <c r="Z1098" s="801"/>
      <c r="AA1098" s="801"/>
      <c r="AB1098" s="801"/>
      <c r="AC1098" s="801"/>
      <c r="AD1098" s="801"/>
      <c r="AE1098" s="801"/>
      <c r="AF1098" s="803"/>
    </row>
    <row r="1099" spans="1:35" s="109" customFormat="1" ht="19.5" customHeight="1" x14ac:dyDescent="0.2">
      <c r="A1099" s="125" t="s">
        <v>383</v>
      </c>
      <c r="B1099" s="123">
        <v>11</v>
      </c>
      <c r="C1099" s="140" t="s">
        <v>2</v>
      </c>
      <c r="D1099" s="125" t="s">
        <v>383</v>
      </c>
      <c r="E1099" s="128" t="s">
        <v>260</v>
      </c>
      <c r="F1099" s="142"/>
      <c r="G1099" s="143"/>
      <c r="H1099" s="743" t="s">
        <v>457</v>
      </c>
      <c r="I1099" s="804" t="s">
        <v>383</v>
      </c>
      <c r="J1099" s="796" t="s">
        <v>256</v>
      </c>
      <c r="K1099" s="796"/>
      <c r="L1099" s="796"/>
      <c r="M1099" s="797" t="s">
        <v>383</v>
      </c>
      <c r="N1099" s="796" t="s">
        <v>257</v>
      </c>
      <c r="O1099" s="796"/>
      <c r="P1099" s="796"/>
      <c r="Q1099" s="798"/>
      <c r="R1099" s="798"/>
      <c r="S1099" s="798"/>
      <c r="T1099" s="798"/>
      <c r="U1099" s="800"/>
      <c r="V1099" s="800"/>
      <c r="W1099" s="800"/>
      <c r="X1099" s="800"/>
      <c r="Y1099" s="800"/>
      <c r="Z1099" s="800"/>
      <c r="AA1099" s="800"/>
      <c r="AB1099" s="800"/>
      <c r="AC1099" s="800"/>
      <c r="AD1099" s="800"/>
      <c r="AE1099" s="800"/>
      <c r="AF1099" s="802"/>
      <c r="AI1099" s="109" t="str">
        <f>"11S:field234:" &amp; IF(I1099="■",1,IF(M1099="■",2,0))</f>
        <v>11S:field234:0</v>
      </c>
    </row>
    <row r="1100" spans="1:35" s="109" customFormat="1" ht="19.5" customHeight="1" x14ac:dyDescent="0.2">
      <c r="A1100" s="174"/>
      <c r="B1100" s="123"/>
      <c r="C1100" s="140"/>
      <c r="D1100" s="125" t="s">
        <v>383</v>
      </c>
      <c r="E1100" s="128" t="s">
        <v>261</v>
      </c>
      <c r="F1100" s="142"/>
      <c r="G1100" s="143"/>
      <c r="H1100" s="744"/>
      <c r="I1100" s="805"/>
      <c r="J1100" s="795"/>
      <c r="K1100" s="795"/>
      <c r="L1100" s="795"/>
      <c r="M1100" s="793"/>
      <c r="N1100" s="795"/>
      <c r="O1100" s="795"/>
      <c r="P1100" s="795"/>
      <c r="Q1100" s="799"/>
      <c r="R1100" s="799"/>
      <c r="S1100" s="799"/>
      <c r="T1100" s="799"/>
      <c r="U1100" s="801"/>
      <c r="V1100" s="801"/>
      <c r="W1100" s="801"/>
      <c r="X1100" s="801"/>
      <c r="Y1100" s="801"/>
      <c r="Z1100" s="801"/>
      <c r="AA1100" s="801"/>
      <c r="AB1100" s="801"/>
      <c r="AC1100" s="801"/>
      <c r="AD1100" s="801"/>
      <c r="AE1100" s="801"/>
      <c r="AF1100" s="803"/>
    </row>
    <row r="1101" spans="1:35" s="109" customFormat="1" ht="19.5" customHeight="1" x14ac:dyDescent="0.2">
      <c r="A1101" s="174"/>
      <c r="B1101" s="123"/>
      <c r="C1101" s="140"/>
      <c r="D1101" s="171"/>
      <c r="E1101" s="128"/>
      <c r="F1101" s="142"/>
      <c r="G1101" s="143"/>
      <c r="H1101" s="743" t="s">
        <v>458</v>
      </c>
      <c r="I1101" s="804" t="s">
        <v>383</v>
      </c>
      <c r="J1101" s="796" t="s">
        <v>256</v>
      </c>
      <c r="K1101" s="796"/>
      <c r="L1101" s="796"/>
      <c r="M1101" s="797" t="s">
        <v>383</v>
      </c>
      <c r="N1101" s="796" t="s">
        <v>257</v>
      </c>
      <c r="O1101" s="796"/>
      <c r="P1101" s="796"/>
      <c r="Q1101" s="798"/>
      <c r="R1101" s="798"/>
      <c r="S1101" s="798"/>
      <c r="T1101" s="798"/>
      <c r="U1101" s="800"/>
      <c r="V1101" s="800"/>
      <c r="W1101" s="800"/>
      <c r="X1101" s="800"/>
      <c r="Y1101" s="800"/>
      <c r="Z1101" s="800"/>
      <c r="AA1101" s="800"/>
      <c r="AB1101" s="800"/>
      <c r="AC1101" s="800"/>
      <c r="AD1101" s="800"/>
      <c r="AE1101" s="800"/>
      <c r="AF1101" s="802"/>
      <c r="AI1101" s="109" t="str">
        <f>"11S:field235:" &amp; IF(I1101="■",1,IF(M1101="■",2,0))</f>
        <v>11S:field235:0</v>
      </c>
    </row>
    <row r="1102" spans="1:35" s="109" customFormat="1" ht="19.5" customHeight="1" x14ac:dyDescent="0.2">
      <c r="A1102" s="139"/>
      <c r="B1102" s="123"/>
      <c r="C1102" s="140"/>
      <c r="D1102" s="108"/>
      <c r="E1102" s="108"/>
      <c r="F1102" s="142"/>
      <c r="G1102" s="143"/>
      <c r="H1102" s="744"/>
      <c r="I1102" s="805"/>
      <c r="J1102" s="795"/>
      <c r="K1102" s="795"/>
      <c r="L1102" s="795"/>
      <c r="M1102" s="793"/>
      <c r="N1102" s="795"/>
      <c r="O1102" s="795"/>
      <c r="P1102" s="795"/>
      <c r="Q1102" s="799"/>
      <c r="R1102" s="799"/>
      <c r="S1102" s="799"/>
      <c r="T1102" s="799"/>
      <c r="U1102" s="801"/>
      <c r="V1102" s="801"/>
      <c r="W1102" s="801"/>
      <c r="X1102" s="801"/>
      <c r="Y1102" s="801"/>
      <c r="Z1102" s="801"/>
      <c r="AA1102" s="801"/>
      <c r="AB1102" s="801"/>
      <c r="AC1102" s="801"/>
      <c r="AD1102" s="801"/>
      <c r="AE1102" s="801"/>
      <c r="AF1102" s="803"/>
    </row>
    <row r="1103" spans="1:35" s="109" customFormat="1" ht="18.75" customHeight="1" x14ac:dyDescent="0.2">
      <c r="A1103" s="139"/>
      <c r="B1103" s="123"/>
      <c r="C1103" s="140"/>
      <c r="D1103" s="108"/>
      <c r="E1103" s="108"/>
      <c r="F1103" s="142"/>
      <c r="G1103" s="143"/>
      <c r="H1103" s="458" t="s">
        <v>90</v>
      </c>
      <c r="I1103" s="380" t="s">
        <v>383</v>
      </c>
      <c r="J1103" s="381" t="s">
        <v>250</v>
      </c>
      <c r="K1103" s="419"/>
      <c r="L1103" s="383" t="s">
        <v>383</v>
      </c>
      <c r="M1103" s="381" t="s">
        <v>267</v>
      </c>
      <c r="N1103" s="351"/>
      <c r="O1103" s="355"/>
      <c r="P1103" s="355"/>
      <c r="Q1103" s="355"/>
      <c r="R1103" s="355"/>
      <c r="S1103" s="355"/>
      <c r="T1103" s="355"/>
      <c r="U1103" s="346"/>
      <c r="V1103" s="346"/>
      <c r="W1103" s="346"/>
      <c r="X1103" s="346"/>
      <c r="Y1103" s="346"/>
      <c r="Z1103" s="346"/>
      <c r="AA1103" s="346"/>
      <c r="AB1103" s="346"/>
      <c r="AC1103" s="346"/>
      <c r="AD1103" s="346"/>
      <c r="AE1103" s="346"/>
      <c r="AF1103" s="347"/>
      <c r="AI1103" s="109" t="str">
        <f>"11S:tokutiiki_code:" &amp; IF(I1103="■",1,IF(L1103="■",2,0))</f>
        <v>11S:tokutiiki_code:0</v>
      </c>
    </row>
    <row r="1104" spans="1:35" s="109" customFormat="1" ht="18.75" customHeight="1" x14ac:dyDescent="0.2">
      <c r="A1104" s="139"/>
      <c r="B1104" s="123"/>
      <c r="C1104" s="140"/>
      <c r="D1104" s="141"/>
      <c r="E1104" s="128"/>
      <c r="F1104" s="142"/>
      <c r="G1104" s="143"/>
      <c r="H1104" s="790" t="s">
        <v>209</v>
      </c>
      <c r="I1104" s="806" t="s">
        <v>383</v>
      </c>
      <c r="J1104" s="796" t="s">
        <v>256</v>
      </c>
      <c r="K1104" s="796"/>
      <c r="L1104" s="796"/>
      <c r="M1104" s="806" t="s">
        <v>383</v>
      </c>
      <c r="N1104" s="796" t="s">
        <v>257</v>
      </c>
      <c r="O1104" s="796"/>
      <c r="P1104" s="796"/>
      <c r="Q1104" s="410"/>
      <c r="R1104" s="410"/>
      <c r="S1104" s="410"/>
      <c r="T1104" s="410"/>
      <c r="U1104" s="424"/>
      <c r="V1104" s="424"/>
      <c r="W1104" s="424"/>
      <c r="X1104" s="424"/>
      <c r="Y1104" s="424"/>
      <c r="Z1104" s="424"/>
      <c r="AA1104" s="424"/>
      <c r="AB1104" s="424"/>
      <c r="AC1104" s="424"/>
      <c r="AD1104" s="424"/>
      <c r="AE1104" s="424"/>
      <c r="AF1104" s="425"/>
      <c r="AI1104" s="109" t="str">
        <f>"11S:chuusankanti_tiiki_code:" &amp; IF(I1104="■",1,IF(M1104="■",2,0))</f>
        <v>11S:chuusankanti_tiiki_code:0</v>
      </c>
    </row>
    <row r="1105" spans="1:35" s="109" customFormat="1" ht="18.75" customHeight="1" x14ac:dyDescent="0.2">
      <c r="A1105" s="139"/>
      <c r="B1105" s="123"/>
      <c r="C1105" s="140"/>
      <c r="D1105" s="141"/>
      <c r="E1105" s="128"/>
      <c r="F1105" s="142"/>
      <c r="G1105" s="143"/>
      <c r="H1105" s="791"/>
      <c r="I1105" s="807"/>
      <c r="J1105" s="795"/>
      <c r="K1105" s="795"/>
      <c r="L1105" s="795"/>
      <c r="M1105" s="807"/>
      <c r="N1105" s="795"/>
      <c r="O1105" s="795"/>
      <c r="P1105" s="795"/>
      <c r="Q1105" s="436"/>
      <c r="R1105" s="436"/>
      <c r="S1105" s="436"/>
      <c r="T1105" s="436"/>
      <c r="U1105" s="426"/>
      <c r="V1105" s="426"/>
      <c r="W1105" s="426"/>
      <c r="X1105" s="426"/>
      <c r="Y1105" s="426"/>
      <c r="Z1105" s="426"/>
      <c r="AA1105" s="426"/>
      <c r="AB1105" s="426"/>
      <c r="AC1105" s="426"/>
      <c r="AD1105" s="426"/>
      <c r="AE1105" s="426"/>
      <c r="AF1105" s="427"/>
    </row>
    <row r="1106" spans="1:35" s="109" customFormat="1" ht="18.75" customHeight="1" x14ac:dyDescent="0.2">
      <c r="A1106" s="139"/>
      <c r="B1106" s="123"/>
      <c r="C1106" s="140"/>
      <c r="D1106" s="141"/>
      <c r="E1106" s="128"/>
      <c r="F1106" s="142"/>
      <c r="G1106" s="143"/>
      <c r="H1106" s="790" t="s">
        <v>210</v>
      </c>
      <c r="I1106" s="806" t="s">
        <v>383</v>
      </c>
      <c r="J1106" s="796" t="s">
        <v>256</v>
      </c>
      <c r="K1106" s="796"/>
      <c r="L1106" s="796"/>
      <c r="M1106" s="806" t="s">
        <v>383</v>
      </c>
      <c r="N1106" s="796" t="s">
        <v>257</v>
      </c>
      <c r="O1106" s="796"/>
      <c r="P1106" s="796"/>
      <c r="Q1106" s="410"/>
      <c r="R1106" s="410"/>
      <c r="S1106" s="410"/>
      <c r="T1106" s="410"/>
      <c r="U1106" s="424"/>
      <c r="V1106" s="424"/>
      <c r="W1106" s="424"/>
      <c r="X1106" s="424"/>
      <c r="Y1106" s="424"/>
      <c r="Z1106" s="424"/>
      <c r="AA1106" s="424"/>
      <c r="AB1106" s="424"/>
      <c r="AC1106" s="424"/>
      <c r="AD1106" s="424"/>
      <c r="AE1106" s="424"/>
      <c r="AF1106" s="425"/>
      <c r="AI1106" s="109" t="str">
        <f>"11S:chuusankanti_kibo_code:" &amp; IF(I1106="■",1,IF(M1106="■",2,0))</f>
        <v>11S:chuusankanti_kibo_code:0</v>
      </c>
    </row>
    <row r="1107" spans="1:35" s="109" customFormat="1" ht="18.75" customHeight="1" x14ac:dyDescent="0.2">
      <c r="A1107" s="139"/>
      <c r="B1107" s="123"/>
      <c r="C1107" s="140"/>
      <c r="D1107" s="141"/>
      <c r="E1107" s="128"/>
      <c r="F1107" s="142"/>
      <c r="G1107" s="143"/>
      <c r="H1107" s="791"/>
      <c r="I1107" s="807"/>
      <c r="J1107" s="795"/>
      <c r="K1107" s="795"/>
      <c r="L1107" s="795"/>
      <c r="M1107" s="807"/>
      <c r="N1107" s="795"/>
      <c r="O1107" s="795"/>
      <c r="P1107" s="795"/>
      <c r="Q1107" s="436"/>
      <c r="R1107" s="436"/>
      <c r="S1107" s="436"/>
      <c r="T1107" s="436"/>
      <c r="U1107" s="426"/>
      <c r="V1107" s="426"/>
      <c r="W1107" s="426"/>
      <c r="X1107" s="426"/>
      <c r="Y1107" s="426"/>
      <c r="Z1107" s="426"/>
      <c r="AA1107" s="426"/>
      <c r="AB1107" s="426"/>
      <c r="AC1107" s="426"/>
      <c r="AD1107" s="426"/>
      <c r="AE1107" s="426"/>
      <c r="AF1107" s="427"/>
    </row>
    <row r="1108" spans="1:35" s="109" customFormat="1" ht="19.5" customHeight="1" x14ac:dyDescent="0.2">
      <c r="A1108" s="139"/>
      <c r="B1108" s="123"/>
      <c r="C1108" s="140"/>
      <c r="D1108" s="141"/>
      <c r="E1108" s="128"/>
      <c r="F1108" s="142"/>
      <c r="G1108" s="143"/>
      <c r="H1108" s="348" t="s">
        <v>433</v>
      </c>
      <c r="I1108" s="349" t="s">
        <v>383</v>
      </c>
      <c r="J1108" s="350" t="s">
        <v>250</v>
      </c>
      <c r="K1108" s="350"/>
      <c r="L1108" s="353" t="s">
        <v>383</v>
      </c>
      <c r="M1108" s="350" t="s">
        <v>267</v>
      </c>
      <c r="N1108" s="350"/>
      <c r="O1108" s="355"/>
      <c r="P1108" s="350"/>
      <c r="Q1108" s="355"/>
      <c r="R1108" s="355"/>
      <c r="S1108" s="355"/>
      <c r="T1108" s="355"/>
      <c r="U1108" s="346"/>
      <c r="V1108" s="346"/>
      <c r="W1108" s="346"/>
      <c r="X1108" s="346"/>
      <c r="Y1108" s="346"/>
      <c r="Z1108" s="346"/>
      <c r="AA1108" s="346"/>
      <c r="AB1108" s="346"/>
      <c r="AC1108" s="346"/>
      <c r="AD1108" s="346"/>
      <c r="AE1108" s="346"/>
      <c r="AF1108" s="483"/>
      <c r="AI1108" s="109" t="str">
        <f>"11S:field224:" &amp; IF(I1108="■",1,IF(L1108="■",2,0))</f>
        <v>11S:field224:0</v>
      </c>
    </row>
    <row r="1109" spans="1:35" s="109" customFormat="1" ht="18.75" customHeight="1" x14ac:dyDescent="0.2">
      <c r="A1109" s="183"/>
      <c r="B1109" s="184"/>
      <c r="C1109" s="185"/>
      <c r="D1109" s="186"/>
      <c r="E1109" s="187"/>
      <c r="F1109" s="188"/>
      <c r="G1109" s="189"/>
      <c r="H1109" s="496" t="s">
        <v>116</v>
      </c>
      <c r="I1109" s="497" t="s">
        <v>383</v>
      </c>
      <c r="J1109" s="360" t="s">
        <v>250</v>
      </c>
      <c r="K1109" s="360"/>
      <c r="L1109" s="498" t="s">
        <v>383</v>
      </c>
      <c r="M1109" s="360" t="s">
        <v>251</v>
      </c>
      <c r="N1109" s="360"/>
      <c r="O1109" s="498" t="s">
        <v>383</v>
      </c>
      <c r="P1109" s="360" t="s">
        <v>252</v>
      </c>
      <c r="Q1109" s="499"/>
      <c r="R1109" s="499"/>
      <c r="S1109" s="499"/>
      <c r="T1109" s="499"/>
      <c r="U1109" s="484"/>
      <c r="V1109" s="484"/>
      <c r="W1109" s="484"/>
      <c r="X1109" s="484"/>
      <c r="Y1109" s="484"/>
      <c r="Z1109" s="484"/>
      <c r="AA1109" s="484"/>
      <c r="AB1109" s="484"/>
      <c r="AC1109" s="484"/>
      <c r="AD1109" s="484"/>
      <c r="AE1109" s="484"/>
      <c r="AF1109" s="485"/>
      <c r="AI1109" s="109" t="str">
        <f>"11S:ninti_senmoncare_code:" &amp; IF(I1109="■",1,IF(O1109="■",3,IF(L1109="■",2,0)))</f>
        <v>11S:ninti_senmoncare_code:0</v>
      </c>
    </row>
    <row r="1110" spans="1:35" s="1" customFormat="1" ht="18.75" customHeight="1" x14ac:dyDescent="0.2">
      <c r="A1110" s="88"/>
      <c r="B1110" s="91"/>
      <c r="C1110" s="87"/>
      <c r="D1110" s="89"/>
      <c r="E1110" s="90"/>
      <c r="F1110" s="103"/>
      <c r="G1110" s="100"/>
      <c r="H1110" s="348" t="s">
        <v>448</v>
      </c>
      <c r="I1110" s="349" t="s">
        <v>383</v>
      </c>
      <c r="J1110" s="350" t="s">
        <v>395</v>
      </c>
      <c r="K1110" s="351"/>
      <c r="L1110" s="352"/>
      <c r="M1110" s="353" t="s">
        <v>383</v>
      </c>
      <c r="N1110" s="350" t="s">
        <v>431</v>
      </c>
      <c r="O1110" s="500"/>
      <c r="P1110" s="500"/>
      <c r="Q1110" s="500"/>
      <c r="R1110" s="500"/>
      <c r="S1110" s="500"/>
      <c r="T1110" s="500"/>
      <c r="U1110" s="486"/>
      <c r="V1110" s="486"/>
      <c r="W1110" s="486"/>
      <c r="X1110" s="486"/>
      <c r="Y1110" s="487"/>
      <c r="Z1110" s="487"/>
      <c r="AA1110" s="487"/>
      <c r="AB1110" s="487"/>
      <c r="AC1110" s="487"/>
      <c r="AD1110" s="487"/>
      <c r="AE1110" s="487"/>
      <c r="AF1110" s="488"/>
      <c r="AG1110" s="1" t="str">
        <f>"ser_code = '" &amp; IF(A1113="■","13S","") &amp; "'"</f>
        <v>ser_code = ''</v>
      </c>
      <c r="AI1110" s="109" t="str">
        <f>"13S:field232:" &amp; IF(I1110="■",1,IF(M1110="■",2,0))</f>
        <v>13S:field232:0</v>
      </c>
    </row>
    <row r="1111" spans="1:35" s="109" customFormat="1" ht="18.75" customHeight="1" x14ac:dyDescent="0.2">
      <c r="A1111" s="139"/>
      <c r="B1111" s="123"/>
      <c r="C1111" s="140"/>
      <c r="D1111" s="141"/>
      <c r="E1111" s="128"/>
      <c r="F1111" s="142"/>
      <c r="G1111" s="143"/>
      <c r="H1111" s="501" t="s">
        <v>137</v>
      </c>
      <c r="I1111" s="380" t="s">
        <v>383</v>
      </c>
      <c r="J1111" s="381" t="s">
        <v>250</v>
      </c>
      <c r="K1111" s="419"/>
      <c r="L1111" s="383" t="s">
        <v>383</v>
      </c>
      <c r="M1111" s="381" t="s">
        <v>267</v>
      </c>
      <c r="N1111" s="419"/>
      <c r="O1111" s="436"/>
      <c r="P1111" s="436"/>
      <c r="Q1111" s="436"/>
      <c r="R1111" s="436"/>
      <c r="S1111" s="436"/>
      <c r="T1111" s="436"/>
      <c r="U1111" s="426"/>
      <c r="V1111" s="426"/>
      <c r="W1111" s="426"/>
      <c r="X1111" s="426"/>
      <c r="Y1111" s="426"/>
      <c r="Z1111" s="426"/>
      <c r="AA1111" s="426"/>
      <c r="AB1111" s="426"/>
      <c r="AC1111" s="426"/>
      <c r="AD1111" s="426"/>
      <c r="AE1111" s="426"/>
      <c r="AF1111" s="427"/>
      <c r="AG1111" s="109" t="str">
        <f>"13S:sisetukbn_code:" &amp; IF(D1112="■",1,IF(D1113="■",2,IF(D1114="■",3,0)))</f>
        <v>13S:sisetukbn_code:0</v>
      </c>
      <c r="AI1111" s="109" t="str">
        <f>"13S:tokutiiki_code:" &amp; IF(I1111="■",1,IF(L1111="■",2,0))</f>
        <v>13S:tokutiiki_code:0</v>
      </c>
    </row>
    <row r="1112" spans="1:35" s="109" customFormat="1" ht="18.75" customHeight="1" x14ac:dyDescent="0.2">
      <c r="A1112" s="139"/>
      <c r="B1112" s="123"/>
      <c r="C1112" s="140"/>
      <c r="D1112" s="125" t="s">
        <v>383</v>
      </c>
      <c r="E1112" s="128" t="s">
        <v>276</v>
      </c>
      <c r="F1112" s="142"/>
      <c r="G1112" s="270"/>
      <c r="H1112" s="790" t="s">
        <v>209</v>
      </c>
      <c r="I1112" s="797" t="s">
        <v>383</v>
      </c>
      <c r="J1112" s="796" t="s">
        <v>256</v>
      </c>
      <c r="K1112" s="796"/>
      <c r="L1112" s="796"/>
      <c r="M1112" s="797" t="s">
        <v>383</v>
      </c>
      <c r="N1112" s="796" t="s">
        <v>257</v>
      </c>
      <c r="O1112" s="796"/>
      <c r="P1112" s="796"/>
      <c r="Q1112" s="410"/>
      <c r="R1112" s="410"/>
      <c r="S1112" s="410"/>
      <c r="T1112" s="410"/>
      <c r="U1112" s="424"/>
      <c r="V1112" s="424"/>
      <c r="W1112" s="424"/>
      <c r="X1112" s="424"/>
      <c r="Y1112" s="424"/>
      <c r="Z1112" s="424"/>
      <c r="AA1112" s="424"/>
      <c r="AB1112" s="424"/>
      <c r="AC1112" s="424"/>
      <c r="AD1112" s="424"/>
      <c r="AE1112" s="424"/>
      <c r="AF1112" s="425"/>
      <c r="AI1112" s="109" t="str">
        <f>"13S:chuusankanti_tiiki_code:" &amp; IF(I1112="■",1,IF(M1112="■",2,0))</f>
        <v>13S:chuusankanti_tiiki_code:0</v>
      </c>
    </row>
    <row r="1113" spans="1:35" s="109" customFormat="1" ht="18.75" customHeight="1" x14ac:dyDescent="0.2">
      <c r="A1113" s="125" t="s">
        <v>383</v>
      </c>
      <c r="B1113" s="123">
        <v>13</v>
      </c>
      <c r="C1113" s="140" t="s">
        <v>4</v>
      </c>
      <c r="D1113" s="125" t="s">
        <v>383</v>
      </c>
      <c r="E1113" s="128" t="s">
        <v>274</v>
      </c>
      <c r="F1113" s="142"/>
      <c r="G1113" s="270"/>
      <c r="H1113" s="791"/>
      <c r="I1113" s="793"/>
      <c r="J1113" s="795"/>
      <c r="K1113" s="795"/>
      <c r="L1113" s="795"/>
      <c r="M1113" s="793"/>
      <c r="N1113" s="795"/>
      <c r="O1113" s="795"/>
      <c r="P1113" s="795"/>
      <c r="Q1113" s="436"/>
      <c r="R1113" s="436"/>
      <c r="S1113" s="436"/>
      <c r="T1113" s="436"/>
      <c r="U1113" s="426"/>
      <c r="V1113" s="426"/>
      <c r="W1113" s="426"/>
      <c r="X1113" s="426"/>
      <c r="Y1113" s="426"/>
      <c r="Z1113" s="426"/>
      <c r="AA1113" s="426"/>
      <c r="AB1113" s="426"/>
      <c r="AC1113" s="426"/>
      <c r="AD1113" s="426"/>
      <c r="AE1113" s="426"/>
      <c r="AF1113" s="427"/>
    </row>
    <row r="1114" spans="1:35" s="109" customFormat="1" ht="18.75" customHeight="1" x14ac:dyDescent="0.2">
      <c r="A1114" s="139"/>
      <c r="B1114" s="123"/>
      <c r="C1114" s="140"/>
      <c r="D1114" s="125" t="s">
        <v>383</v>
      </c>
      <c r="E1114" s="128" t="s">
        <v>426</v>
      </c>
      <c r="F1114" s="142"/>
      <c r="G1114" s="270"/>
      <c r="H1114" s="790" t="s">
        <v>210</v>
      </c>
      <c r="I1114" s="797" t="s">
        <v>383</v>
      </c>
      <c r="J1114" s="796" t="s">
        <v>256</v>
      </c>
      <c r="K1114" s="796"/>
      <c r="L1114" s="796"/>
      <c r="M1114" s="797" t="s">
        <v>383</v>
      </c>
      <c r="N1114" s="796" t="s">
        <v>257</v>
      </c>
      <c r="O1114" s="796"/>
      <c r="P1114" s="796"/>
      <c r="Q1114" s="410"/>
      <c r="R1114" s="410"/>
      <c r="S1114" s="410"/>
      <c r="T1114" s="410"/>
      <c r="U1114" s="424"/>
      <c r="V1114" s="424"/>
      <c r="W1114" s="424"/>
      <c r="X1114" s="424"/>
      <c r="Y1114" s="424"/>
      <c r="Z1114" s="424"/>
      <c r="AA1114" s="424"/>
      <c r="AB1114" s="424"/>
      <c r="AC1114" s="424"/>
      <c r="AD1114" s="424"/>
      <c r="AE1114" s="424"/>
      <c r="AF1114" s="425"/>
      <c r="AI1114" s="109" t="str">
        <f>"13S:chuusankanti_kibo_code:" &amp; IF(I1114="■",1,IF(M1114="■",2,0))</f>
        <v>13S:chuusankanti_kibo_code:0</v>
      </c>
    </row>
    <row r="1115" spans="1:35" s="109" customFormat="1" ht="18.75" customHeight="1" x14ac:dyDescent="0.2">
      <c r="A1115" s="139"/>
      <c r="B1115" s="123"/>
      <c r="C1115" s="140"/>
      <c r="D1115" s="141"/>
      <c r="E1115" s="128"/>
      <c r="F1115" s="142"/>
      <c r="G1115" s="270"/>
      <c r="H1115" s="808"/>
      <c r="I1115" s="792"/>
      <c r="J1115" s="794"/>
      <c r="K1115" s="794"/>
      <c r="L1115" s="794"/>
      <c r="M1115" s="792"/>
      <c r="N1115" s="794"/>
      <c r="O1115" s="794"/>
      <c r="P1115" s="794"/>
      <c r="Q1115" s="502"/>
      <c r="R1115" s="502"/>
      <c r="S1115" s="502"/>
      <c r="T1115" s="502"/>
      <c r="U1115" s="489"/>
      <c r="V1115" s="489"/>
      <c r="W1115" s="489"/>
      <c r="X1115" s="489"/>
      <c r="Y1115" s="489"/>
      <c r="Z1115" s="489"/>
      <c r="AA1115" s="489"/>
      <c r="AB1115" s="489"/>
      <c r="AC1115" s="489"/>
      <c r="AD1115" s="489"/>
      <c r="AE1115" s="489"/>
      <c r="AF1115" s="490"/>
    </row>
    <row r="1116" spans="1:35" s="109" customFormat="1" ht="19.5" customHeight="1" x14ac:dyDescent="0.2">
      <c r="A1116" s="129"/>
      <c r="B1116" s="116"/>
      <c r="C1116" s="130"/>
      <c r="D1116" s="131"/>
      <c r="E1116" s="121"/>
      <c r="F1116" s="132"/>
      <c r="G1116" s="133"/>
      <c r="H1116" s="503" t="s">
        <v>430</v>
      </c>
      <c r="I1116" s="367" t="s">
        <v>383</v>
      </c>
      <c r="J1116" s="368" t="s">
        <v>395</v>
      </c>
      <c r="K1116" s="369"/>
      <c r="L1116" s="370"/>
      <c r="M1116" s="371" t="s">
        <v>383</v>
      </c>
      <c r="N1116" s="368" t="s">
        <v>431</v>
      </c>
      <c r="O1116" s="368"/>
      <c r="P1116" s="368"/>
      <c r="Q1116" s="372"/>
      <c r="R1116" s="372"/>
      <c r="S1116" s="372"/>
      <c r="T1116" s="372"/>
      <c r="U1116" s="392"/>
      <c r="V1116" s="392"/>
      <c r="W1116" s="392"/>
      <c r="X1116" s="392"/>
      <c r="Y1116" s="392"/>
      <c r="Z1116" s="392"/>
      <c r="AA1116" s="392"/>
      <c r="AB1116" s="392"/>
      <c r="AC1116" s="392"/>
      <c r="AD1116" s="392"/>
      <c r="AE1116" s="392"/>
      <c r="AF1116" s="491"/>
      <c r="AG1116" s="109" t="str">
        <f>"ser_code = '" &amp; IF(A1121="■","14S","") &amp; "'"</f>
        <v>ser_code = ''</v>
      </c>
      <c r="AI1116" s="109" t="str">
        <f>"14S:field223:" &amp; IF(I1116="■",1,IF(M1116="■",2,0))</f>
        <v>14S:field223:0</v>
      </c>
    </row>
    <row r="1117" spans="1:35" s="109" customFormat="1" ht="19.5" customHeight="1" x14ac:dyDescent="0.2">
      <c r="A1117" s="139"/>
      <c r="B1117" s="123"/>
      <c r="C1117" s="140"/>
      <c r="D1117" s="141"/>
      <c r="E1117" s="128"/>
      <c r="F1117" s="142"/>
      <c r="G1117" s="143"/>
      <c r="H1117" s="348" t="s">
        <v>448</v>
      </c>
      <c r="I1117" s="349" t="s">
        <v>383</v>
      </c>
      <c r="J1117" s="350" t="s">
        <v>395</v>
      </c>
      <c r="K1117" s="351"/>
      <c r="L1117" s="352"/>
      <c r="M1117" s="353" t="s">
        <v>383</v>
      </c>
      <c r="N1117" s="350" t="s">
        <v>431</v>
      </c>
      <c r="O1117" s="354"/>
      <c r="P1117" s="350"/>
      <c r="Q1117" s="355"/>
      <c r="R1117" s="355"/>
      <c r="S1117" s="355"/>
      <c r="T1117" s="355"/>
      <c r="U1117" s="479"/>
      <c r="V1117" s="479"/>
      <c r="W1117" s="479"/>
      <c r="X1117" s="479"/>
      <c r="Y1117" s="480"/>
      <c r="Z1117" s="480"/>
      <c r="AA1117" s="480"/>
      <c r="AB1117" s="480"/>
      <c r="AC1117" s="479"/>
      <c r="AD1117" s="479"/>
      <c r="AE1117" s="479"/>
      <c r="AF1117" s="482"/>
      <c r="AG1117" s="109" t="str">
        <f>"14S:sisetukbn_code:" &amp; IF(D1120="■",1,IF(D1121="■",2,IF(D1122="■",3,0)))</f>
        <v>14S:sisetukbn_code:0</v>
      </c>
      <c r="AI1117" s="109" t="str">
        <f>"14S:field232:" &amp; IF(I1117="■",1,IF(M1117="■",2,0))</f>
        <v>14S:field232:0</v>
      </c>
    </row>
    <row r="1118" spans="1:35" s="109" customFormat="1" ht="18.75" customHeight="1" x14ac:dyDescent="0.2">
      <c r="A1118" s="139"/>
      <c r="B1118" s="123"/>
      <c r="C1118" s="140"/>
      <c r="D1118" s="139"/>
      <c r="E1118" s="128"/>
      <c r="F1118" s="142"/>
      <c r="G1118" s="143"/>
      <c r="H1118" s="467" t="s">
        <v>90</v>
      </c>
      <c r="I1118" s="380" t="s">
        <v>383</v>
      </c>
      <c r="J1118" s="381" t="s">
        <v>250</v>
      </c>
      <c r="K1118" s="419"/>
      <c r="L1118" s="383" t="s">
        <v>383</v>
      </c>
      <c r="M1118" s="381" t="s">
        <v>267</v>
      </c>
      <c r="N1118" s="419"/>
      <c r="O1118" s="436"/>
      <c r="P1118" s="419"/>
      <c r="Q1118" s="419"/>
      <c r="R1118" s="419"/>
      <c r="S1118" s="419"/>
      <c r="T1118" s="419"/>
      <c r="U1118" s="453"/>
      <c r="V1118" s="453"/>
      <c r="W1118" s="453"/>
      <c r="X1118" s="453"/>
      <c r="Y1118" s="453"/>
      <c r="Z1118" s="453"/>
      <c r="AA1118" s="453"/>
      <c r="AB1118" s="453"/>
      <c r="AC1118" s="453"/>
      <c r="AD1118" s="453"/>
      <c r="AE1118" s="453"/>
      <c r="AF1118" s="464"/>
      <c r="AI1118" s="109" t="str">
        <f>"14S:tokutiiki_code:" &amp; IF(I1118="■",1,IF(L1118="■",2,0))</f>
        <v>14S:tokutiiki_code:0</v>
      </c>
    </row>
    <row r="1119" spans="1:35" s="109" customFormat="1" ht="18.75" customHeight="1" x14ac:dyDescent="0.2">
      <c r="A1119" s="139"/>
      <c r="B1119" s="123"/>
      <c r="C1119" s="140"/>
      <c r="D1119" s="139"/>
      <c r="E1119" s="128"/>
      <c r="F1119" s="142"/>
      <c r="G1119" s="143"/>
      <c r="H1119" s="743" t="s">
        <v>209</v>
      </c>
      <c r="I1119" s="797" t="s">
        <v>383</v>
      </c>
      <c r="J1119" s="796" t="s">
        <v>256</v>
      </c>
      <c r="K1119" s="796"/>
      <c r="L1119" s="796"/>
      <c r="M1119" s="797" t="s">
        <v>383</v>
      </c>
      <c r="N1119" s="796" t="s">
        <v>257</v>
      </c>
      <c r="O1119" s="796"/>
      <c r="P1119" s="796"/>
      <c r="Q1119" s="410"/>
      <c r="R1119" s="410"/>
      <c r="S1119" s="410"/>
      <c r="T1119" s="410"/>
      <c r="U1119" s="424"/>
      <c r="V1119" s="424"/>
      <c r="W1119" s="424"/>
      <c r="X1119" s="424"/>
      <c r="Y1119" s="424"/>
      <c r="Z1119" s="424"/>
      <c r="AA1119" s="424"/>
      <c r="AB1119" s="424"/>
      <c r="AC1119" s="424"/>
      <c r="AD1119" s="424"/>
      <c r="AE1119" s="424"/>
      <c r="AF1119" s="425"/>
      <c r="AI1119" s="109" t="str">
        <f>"14S:chuusankanti_tiiki_code:" &amp; IF(I1119="■",1,IF(M1119="■",2,0))</f>
        <v>14S:chuusankanti_tiiki_code:0</v>
      </c>
    </row>
    <row r="1120" spans="1:35" s="109" customFormat="1" ht="18.75" customHeight="1" x14ac:dyDescent="0.2">
      <c r="A1120" s="139"/>
      <c r="B1120" s="123"/>
      <c r="C1120" s="140"/>
      <c r="D1120" s="125" t="s">
        <v>383</v>
      </c>
      <c r="E1120" s="128" t="s">
        <v>427</v>
      </c>
      <c r="F1120" s="142"/>
      <c r="G1120" s="143"/>
      <c r="H1120" s="744"/>
      <c r="I1120" s="793"/>
      <c r="J1120" s="795"/>
      <c r="K1120" s="795"/>
      <c r="L1120" s="795"/>
      <c r="M1120" s="793"/>
      <c r="N1120" s="795"/>
      <c r="O1120" s="795"/>
      <c r="P1120" s="795"/>
      <c r="Q1120" s="436"/>
      <c r="R1120" s="436"/>
      <c r="S1120" s="436"/>
      <c r="T1120" s="436"/>
      <c r="U1120" s="426"/>
      <c r="V1120" s="426"/>
      <c r="W1120" s="426"/>
      <c r="X1120" s="426"/>
      <c r="Y1120" s="426"/>
      <c r="Z1120" s="426"/>
      <c r="AA1120" s="426"/>
      <c r="AB1120" s="426"/>
      <c r="AC1120" s="426"/>
      <c r="AD1120" s="426"/>
      <c r="AE1120" s="426"/>
      <c r="AF1120" s="427"/>
    </row>
    <row r="1121" spans="1:35" s="109" customFormat="1" ht="18.75" customHeight="1" x14ac:dyDescent="0.2">
      <c r="A1121" s="125" t="s">
        <v>383</v>
      </c>
      <c r="B1121" s="123">
        <v>14</v>
      </c>
      <c r="C1121" s="140" t="s">
        <v>222</v>
      </c>
      <c r="D1121" s="125" t="s">
        <v>383</v>
      </c>
      <c r="E1121" s="128" t="s">
        <v>279</v>
      </c>
      <c r="F1121" s="142"/>
      <c r="G1121" s="143"/>
      <c r="H1121" s="743" t="s">
        <v>210</v>
      </c>
      <c r="I1121" s="797" t="s">
        <v>383</v>
      </c>
      <c r="J1121" s="796" t="s">
        <v>256</v>
      </c>
      <c r="K1121" s="796"/>
      <c r="L1121" s="796"/>
      <c r="M1121" s="797" t="s">
        <v>383</v>
      </c>
      <c r="N1121" s="796" t="s">
        <v>257</v>
      </c>
      <c r="O1121" s="796"/>
      <c r="P1121" s="796"/>
      <c r="Q1121" s="410"/>
      <c r="R1121" s="410"/>
      <c r="S1121" s="410"/>
      <c r="T1121" s="410"/>
      <c r="U1121" s="424"/>
      <c r="V1121" s="424"/>
      <c r="W1121" s="424"/>
      <c r="X1121" s="424"/>
      <c r="Y1121" s="424"/>
      <c r="Z1121" s="424"/>
      <c r="AA1121" s="424"/>
      <c r="AB1121" s="424"/>
      <c r="AC1121" s="424"/>
      <c r="AD1121" s="424"/>
      <c r="AE1121" s="424"/>
      <c r="AF1121" s="425"/>
      <c r="AI1121" s="109" t="str">
        <f>"14S:chuusankanti_kibo_code:" &amp; IF(I1121="■",1,IF(M1121="■",2,0))</f>
        <v>14S:chuusankanti_kibo_code:0</v>
      </c>
    </row>
    <row r="1122" spans="1:35" s="109" customFormat="1" ht="18.75" customHeight="1" x14ac:dyDescent="0.2">
      <c r="A1122" s="139"/>
      <c r="B1122" s="123"/>
      <c r="C1122" s="140"/>
      <c r="D1122" s="125" t="s">
        <v>383</v>
      </c>
      <c r="E1122" s="128" t="s">
        <v>280</v>
      </c>
      <c r="F1122" s="142"/>
      <c r="G1122" s="143"/>
      <c r="H1122" s="744"/>
      <c r="I1122" s="793"/>
      <c r="J1122" s="795"/>
      <c r="K1122" s="795"/>
      <c r="L1122" s="795"/>
      <c r="M1122" s="793"/>
      <c r="N1122" s="795"/>
      <c r="O1122" s="795"/>
      <c r="P1122" s="795"/>
      <c r="Q1122" s="436"/>
      <c r="R1122" s="436"/>
      <c r="S1122" s="436"/>
      <c r="T1122" s="436"/>
      <c r="U1122" s="426"/>
      <c r="V1122" s="426"/>
      <c r="W1122" s="426"/>
      <c r="X1122" s="426"/>
      <c r="Y1122" s="426"/>
      <c r="Z1122" s="426"/>
      <c r="AA1122" s="426"/>
      <c r="AB1122" s="426"/>
      <c r="AC1122" s="426"/>
      <c r="AD1122" s="426"/>
      <c r="AE1122" s="426"/>
      <c r="AF1122" s="427"/>
    </row>
    <row r="1123" spans="1:35" s="109" customFormat="1" ht="18.75" customHeight="1" x14ac:dyDescent="0.2">
      <c r="A1123" s="139"/>
      <c r="B1123" s="123"/>
      <c r="C1123" s="140"/>
      <c r="D1123" s="174"/>
      <c r="E1123" s="128"/>
      <c r="F1123" s="142"/>
      <c r="G1123" s="143"/>
      <c r="H1123" s="439" t="s">
        <v>156</v>
      </c>
      <c r="I1123" s="349" t="s">
        <v>383</v>
      </c>
      <c r="J1123" s="350" t="s">
        <v>250</v>
      </c>
      <c r="K1123" s="350"/>
      <c r="L1123" s="352"/>
      <c r="M1123" s="353" t="s">
        <v>383</v>
      </c>
      <c r="N1123" s="350" t="s">
        <v>467</v>
      </c>
      <c r="O1123" s="350"/>
      <c r="P1123" s="352"/>
      <c r="Q1123" s="353" t="s">
        <v>383</v>
      </c>
      <c r="R1123" s="420" t="s">
        <v>468</v>
      </c>
      <c r="S1123" s="420"/>
      <c r="T1123" s="420"/>
      <c r="U1123" s="492"/>
      <c r="V1123" s="492"/>
      <c r="W1123" s="345"/>
      <c r="X1123" s="345"/>
      <c r="Y1123" s="493"/>
      <c r="Z1123" s="492"/>
      <c r="AA1123" s="430"/>
      <c r="AB1123" s="430"/>
      <c r="AC1123" s="430"/>
      <c r="AD1123" s="430"/>
      <c r="AE1123" s="430"/>
      <c r="AF1123" s="347"/>
      <c r="AI1123" s="109" t="str">
        <f>"14S:field149:" &amp; IF(I1123="■",1,IF(Q1123="■",6,IF(M1123="■",3,0)))</f>
        <v>14S:field149:0</v>
      </c>
    </row>
    <row r="1124" spans="1:35" s="109" customFormat="1" ht="19.5" customHeight="1" x14ac:dyDescent="0.2">
      <c r="A1124" s="139"/>
      <c r="B1124" s="123"/>
      <c r="C1124" s="140"/>
      <c r="D1124" s="171"/>
      <c r="E1124" s="128"/>
      <c r="F1124" s="142"/>
      <c r="G1124" s="143"/>
      <c r="H1124" s="809" t="s">
        <v>438</v>
      </c>
      <c r="I1124" s="810" t="s">
        <v>383</v>
      </c>
      <c r="J1124" s="794" t="s">
        <v>250</v>
      </c>
      <c r="K1124" s="794"/>
      <c r="L1124" s="811" t="s">
        <v>383</v>
      </c>
      <c r="M1124" s="794" t="s">
        <v>267</v>
      </c>
      <c r="N1124" s="794"/>
      <c r="O1124" s="409"/>
      <c r="P1124" s="504"/>
      <c r="Q1124" s="505"/>
      <c r="R1124" s="504"/>
      <c r="S1124" s="506"/>
      <c r="T1124" s="506"/>
      <c r="U1124" s="494"/>
      <c r="V1124" s="494"/>
      <c r="W1124" s="470"/>
      <c r="X1124" s="494"/>
      <c r="Y1124" s="494"/>
      <c r="Z1124" s="494"/>
      <c r="AA1124" s="494"/>
      <c r="AB1124" s="494"/>
      <c r="AC1124" s="494"/>
      <c r="AD1124" s="494"/>
      <c r="AE1124" s="494"/>
      <c r="AF1124" s="495"/>
      <c r="AI1124" s="109" t="str">
        <f>"14S:field239:" &amp; IF(I1124="■",1,IF(L1124="■",2,0))</f>
        <v>14S:field239:0</v>
      </c>
    </row>
    <row r="1125" spans="1:35" s="109" customFormat="1" ht="19.5" customHeight="1" x14ac:dyDescent="0.2">
      <c r="A1125" s="139"/>
      <c r="B1125" s="123"/>
      <c r="C1125" s="140"/>
      <c r="D1125" s="171"/>
      <c r="E1125" s="128"/>
      <c r="F1125" s="142"/>
      <c r="G1125" s="143"/>
      <c r="H1125" s="744"/>
      <c r="I1125" s="805"/>
      <c r="J1125" s="795"/>
      <c r="K1125" s="795"/>
      <c r="L1125" s="812"/>
      <c r="M1125" s="795"/>
      <c r="N1125" s="795"/>
      <c r="O1125" s="409"/>
      <c r="P1125" s="504"/>
      <c r="Q1125" s="505"/>
      <c r="R1125" s="384"/>
      <c r="S1125" s="506"/>
      <c r="T1125" s="506"/>
      <c r="U1125" s="463"/>
      <c r="V1125" s="403"/>
      <c r="W1125" s="470"/>
      <c r="X1125" s="403"/>
      <c r="Y1125" s="403"/>
      <c r="Z1125" s="403"/>
      <c r="AA1125" s="403"/>
      <c r="AB1125" s="403"/>
      <c r="AC1125" s="403"/>
      <c r="AD1125" s="403"/>
      <c r="AE1125" s="403"/>
      <c r="AF1125" s="433"/>
    </row>
    <row r="1126" spans="1:35" s="109" customFormat="1" ht="19.5" customHeight="1" x14ac:dyDescent="0.2">
      <c r="A1126" s="139"/>
      <c r="B1126" s="123"/>
      <c r="C1126" s="140"/>
      <c r="D1126" s="139"/>
      <c r="E1126" s="128"/>
      <c r="F1126" s="142"/>
      <c r="G1126" s="143"/>
      <c r="H1126" s="155" t="s">
        <v>433</v>
      </c>
      <c r="I1126" s="156" t="s">
        <v>383</v>
      </c>
      <c r="J1126" s="157" t="s">
        <v>250</v>
      </c>
      <c r="K1126" s="157"/>
      <c r="L1126" s="160" t="s">
        <v>383</v>
      </c>
      <c r="M1126" s="157" t="s">
        <v>267</v>
      </c>
      <c r="N1126" s="157"/>
      <c r="O1126" s="162"/>
      <c r="P1126" s="157"/>
      <c r="Q1126" s="162"/>
      <c r="R1126" s="162"/>
      <c r="S1126" s="162"/>
      <c r="T1126" s="162"/>
      <c r="U1126" s="162"/>
      <c r="V1126" s="162"/>
      <c r="W1126" s="162"/>
      <c r="X1126" s="162"/>
      <c r="Y1126" s="162"/>
      <c r="Z1126" s="162"/>
      <c r="AA1126" s="162"/>
      <c r="AB1126" s="162"/>
      <c r="AC1126" s="162"/>
      <c r="AD1126" s="162"/>
      <c r="AE1126" s="162"/>
      <c r="AF1126" s="165"/>
      <c r="AI1126" s="109" t="str">
        <f>"14S:field224:" &amp; IF(I1126="■",1,IF(L1126="■",2,0))</f>
        <v>14S:field224:0</v>
      </c>
    </row>
    <row r="1127" spans="1:35" s="109" customFormat="1" ht="18.75" customHeight="1" x14ac:dyDescent="0.2">
      <c r="A1127" s="183"/>
      <c r="B1127" s="184"/>
      <c r="C1127" s="185"/>
      <c r="D1127" s="183"/>
      <c r="E1127" s="187"/>
      <c r="F1127" s="188"/>
      <c r="G1127" s="189"/>
      <c r="H1127" s="210" t="s">
        <v>235</v>
      </c>
      <c r="I1127" s="277" t="s">
        <v>383</v>
      </c>
      <c r="J1127" s="231" t="s">
        <v>250</v>
      </c>
      <c r="K1127" s="266"/>
      <c r="L1127" s="211" t="s">
        <v>383</v>
      </c>
      <c r="M1127" s="231" t="s">
        <v>267</v>
      </c>
      <c r="N1127" s="266"/>
      <c r="O1127" s="231"/>
      <c r="P1127" s="231"/>
      <c r="Q1127" s="231"/>
      <c r="R1127" s="231"/>
      <c r="S1127" s="231"/>
      <c r="T1127" s="231"/>
      <c r="U1127" s="231"/>
      <c r="V1127" s="231"/>
      <c r="W1127" s="231"/>
      <c r="X1127" s="231"/>
      <c r="Y1127" s="231"/>
      <c r="Z1127" s="231"/>
      <c r="AA1127" s="231"/>
      <c r="AB1127" s="231"/>
      <c r="AC1127" s="231"/>
      <c r="AD1127" s="231"/>
      <c r="AE1127" s="231"/>
      <c r="AF1127" s="189"/>
      <c r="AI1127" s="109" t="str">
        <f>"14S:field150:" &amp; IF(I1127="■",1,IF(L1127="■",2,0))</f>
        <v>14S:field150:0</v>
      </c>
    </row>
    <row r="1128" spans="1:35" s="109" customFormat="1" ht="18.75" customHeight="1" x14ac:dyDescent="0.2">
      <c r="A1128" s="129"/>
      <c r="B1128" s="116"/>
      <c r="C1128" s="233"/>
      <c r="D1128" s="132"/>
      <c r="E1128" s="121"/>
      <c r="F1128" s="132"/>
      <c r="G1128" s="133"/>
      <c r="H1128" s="226" t="s">
        <v>93</v>
      </c>
      <c r="I1128" s="196" t="s">
        <v>383</v>
      </c>
      <c r="J1128" s="197" t="s">
        <v>250</v>
      </c>
      <c r="K1128" s="197"/>
      <c r="L1128" s="235"/>
      <c r="M1128" s="200" t="s">
        <v>383</v>
      </c>
      <c r="N1128" s="197" t="s">
        <v>281</v>
      </c>
      <c r="O1128" s="197"/>
      <c r="P1128" s="235"/>
      <c r="Q1128" s="200" t="s">
        <v>383</v>
      </c>
      <c r="R1128" s="235" t="s">
        <v>282</v>
      </c>
      <c r="S1128" s="235"/>
      <c r="T1128" s="201"/>
      <c r="U1128" s="201"/>
      <c r="V1128" s="201"/>
      <c r="W1128" s="201"/>
      <c r="X1128" s="201"/>
      <c r="Y1128" s="201"/>
      <c r="Z1128" s="201"/>
      <c r="AA1128" s="201"/>
      <c r="AB1128" s="201"/>
      <c r="AC1128" s="201"/>
      <c r="AD1128" s="201"/>
      <c r="AE1128" s="201"/>
      <c r="AF1128" s="202"/>
      <c r="AG1128" s="109" t="str">
        <f>"ser_code = '" &amp; IF(A1140="■","15S","") &amp; "'"</f>
        <v>ser_code = ''</v>
      </c>
      <c r="AI1128" s="109" t="str">
        <f>"15:"&amp;IF(AND(I1128="□",M1128="□",Q1128="□"),"ketu_kangos_code:0",IF(I1128="■","ketu_kangos_code:1:ketu_kshoku_code:1",IF(M1128="■","ketu_kangos_code:2","ketu_kangos_code:1")&amp;IF(Q1128="■",":ketu_kshoku_code:2",":ketu_kshoku_code:1")))</f>
        <v>15:ketu_kangos_code:0</v>
      </c>
    </row>
    <row r="1129" spans="1:35" s="109" customFormat="1" ht="19.5" customHeight="1" x14ac:dyDescent="0.2">
      <c r="A1129" s="139"/>
      <c r="B1129" s="123"/>
      <c r="C1129" s="140"/>
      <c r="D1129" s="141"/>
      <c r="E1129" s="128"/>
      <c r="F1129" s="142"/>
      <c r="G1129" s="143"/>
      <c r="H1129" s="155" t="s">
        <v>430</v>
      </c>
      <c r="I1129" s="156" t="s">
        <v>383</v>
      </c>
      <c r="J1129" s="157" t="s">
        <v>395</v>
      </c>
      <c r="K1129" s="158"/>
      <c r="L1129" s="159"/>
      <c r="M1129" s="160" t="s">
        <v>383</v>
      </c>
      <c r="N1129" s="157" t="s">
        <v>431</v>
      </c>
      <c r="O1129" s="157"/>
      <c r="P1129" s="157"/>
      <c r="Q1129" s="162"/>
      <c r="R1129" s="162"/>
      <c r="S1129" s="162"/>
      <c r="T1129" s="162"/>
      <c r="U1129" s="162"/>
      <c r="V1129" s="162"/>
      <c r="W1129" s="162"/>
      <c r="X1129" s="162"/>
      <c r="Y1129" s="162"/>
      <c r="Z1129" s="162"/>
      <c r="AA1129" s="162"/>
      <c r="AB1129" s="162"/>
      <c r="AC1129" s="162"/>
      <c r="AD1129" s="162"/>
      <c r="AE1129" s="162"/>
      <c r="AF1129" s="148"/>
      <c r="AG1129" s="109" t="str">
        <f>"15:sisetukbn_code:" &amp; IF(D1139="■",4,IF(D1140="■",6,IF(D1141="■",7,0)))</f>
        <v>15:sisetukbn_code:0</v>
      </c>
      <c r="AI1129" s="109" t="str">
        <f>"15:field223:" &amp; IF(I1129="■",1,IF(M1129="■",2,0))</f>
        <v>15:field223:0</v>
      </c>
    </row>
    <row r="1130" spans="1:35" s="109" customFormat="1" ht="19.5" customHeight="1" x14ac:dyDescent="0.2">
      <c r="A1130" s="139"/>
      <c r="B1130" s="123"/>
      <c r="C1130" s="140"/>
      <c r="D1130" s="141"/>
      <c r="E1130" s="128"/>
      <c r="F1130" s="142"/>
      <c r="G1130" s="143"/>
      <c r="H1130" s="155" t="s">
        <v>448</v>
      </c>
      <c r="I1130" s="156" t="s">
        <v>383</v>
      </c>
      <c r="J1130" s="157" t="s">
        <v>395</v>
      </c>
      <c r="K1130" s="158"/>
      <c r="L1130" s="159"/>
      <c r="M1130" s="160" t="s">
        <v>383</v>
      </c>
      <c r="N1130" s="157" t="s">
        <v>431</v>
      </c>
      <c r="O1130" s="157"/>
      <c r="P1130" s="157"/>
      <c r="Q1130" s="162"/>
      <c r="R1130" s="162"/>
      <c r="S1130" s="162"/>
      <c r="T1130" s="162"/>
      <c r="U1130" s="162"/>
      <c r="V1130" s="162"/>
      <c r="W1130" s="162"/>
      <c r="X1130" s="162"/>
      <c r="Y1130" s="162"/>
      <c r="Z1130" s="162"/>
      <c r="AA1130" s="162"/>
      <c r="AB1130" s="162"/>
      <c r="AC1130" s="162"/>
      <c r="AD1130" s="162"/>
      <c r="AE1130" s="162"/>
      <c r="AF1130" s="282"/>
      <c r="AI1130" s="109" t="str">
        <f>"15:field232:" &amp; IF(I1130="■",1,IF(M1130="■",2,0))</f>
        <v>15:field232:0</v>
      </c>
    </row>
    <row r="1131" spans="1:35" s="109" customFormat="1" ht="18.75" customHeight="1" x14ac:dyDescent="0.2">
      <c r="A1131" s="139"/>
      <c r="B1131" s="123"/>
      <c r="C1131" s="140"/>
      <c r="D1131" s="141"/>
      <c r="E1131" s="128"/>
      <c r="F1131" s="142"/>
      <c r="G1131" s="270"/>
      <c r="H1131" s="242" t="s">
        <v>94</v>
      </c>
      <c r="I1131" s="156" t="s">
        <v>383</v>
      </c>
      <c r="J1131" s="157" t="s">
        <v>265</v>
      </c>
      <c r="K1131" s="158"/>
      <c r="L1131" s="207"/>
      <c r="M1131" s="160" t="s">
        <v>383</v>
      </c>
      <c r="N1131" s="157" t="s">
        <v>266</v>
      </c>
      <c r="O1131" s="158"/>
      <c r="P1131" s="162"/>
      <c r="Q1131" s="162"/>
      <c r="R1131" s="162"/>
      <c r="S1131" s="162"/>
      <c r="T1131" s="162"/>
      <c r="U1131" s="162"/>
      <c r="V1131" s="162"/>
      <c r="W1131" s="162"/>
      <c r="X1131" s="162"/>
      <c r="Y1131" s="162"/>
      <c r="Z1131" s="162"/>
      <c r="AA1131" s="162"/>
      <c r="AB1131" s="162"/>
      <c r="AC1131" s="162"/>
      <c r="AD1131" s="162"/>
      <c r="AE1131" s="162"/>
      <c r="AF1131" s="163"/>
      <c r="AI1131" s="109" t="str">
        <f>"15:timeser_code:" &amp; IF(I1131="■",1,IF(M1131="■",2,0))</f>
        <v>15:timeser_code:0</v>
      </c>
    </row>
    <row r="1132" spans="1:35" s="109" customFormat="1" ht="18.75" customHeight="1" x14ac:dyDescent="0.2">
      <c r="A1132" s="139"/>
      <c r="B1132" s="123"/>
      <c r="C1132" s="140"/>
      <c r="D1132" s="141"/>
      <c r="E1132" s="128"/>
      <c r="F1132" s="142"/>
      <c r="G1132" s="270"/>
      <c r="H1132" s="694" t="s">
        <v>159</v>
      </c>
      <c r="I1132" s="695" t="s">
        <v>383</v>
      </c>
      <c r="J1132" s="697" t="s">
        <v>250</v>
      </c>
      <c r="K1132" s="697"/>
      <c r="L1132" s="695" t="s">
        <v>383</v>
      </c>
      <c r="M1132" s="697" t="s">
        <v>267</v>
      </c>
      <c r="N1132" s="697"/>
      <c r="O1132" s="172"/>
      <c r="P1132" s="172"/>
      <c r="Q1132" s="172"/>
      <c r="R1132" s="172"/>
      <c r="S1132" s="172"/>
      <c r="T1132" s="172"/>
      <c r="U1132" s="172"/>
      <c r="V1132" s="172"/>
      <c r="W1132" s="172"/>
      <c r="X1132" s="172"/>
      <c r="Y1132" s="172"/>
      <c r="Z1132" s="172"/>
      <c r="AA1132" s="172"/>
      <c r="AB1132" s="172"/>
      <c r="AC1132" s="172"/>
      <c r="AD1132" s="172"/>
      <c r="AE1132" s="172"/>
      <c r="AF1132" s="209"/>
      <c r="AI1132" s="109" t="str">
        <f>"15:field181:" &amp; IF(I1132="■",1,IF(L1132="■",2,0))</f>
        <v>15:field181:0</v>
      </c>
    </row>
    <row r="1133" spans="1:35" s="109" customFormat="1" ht="18.75" customHeight="1" x14ac:dyDescent="0.2">
      <c r="A1133" s="139"/>
      <c r="B1133" s="123"/>
      <c r="C1133" s="140"/>
      <c r="D1133" s="141"/>
      <c r="E1133" s="128"/>
      <c r="F1133" s="142"/>
      <c r="G1133" s="270"/>
      <c r="H1133" s="693"/>
      <c r="I1133" s="696"/>
      <c r="J1133" s="698"/>
      <c r="K1133" s="698"/>
      <c r="L1133" s="696"/>
      <c r="M1133" s="698"/>
      <c r="N1133" s="698"/>
      <c r="O1133" s="151"/>
      <c r="P1133" s="151"/>
      <c r="Q1133" s="151"/>
      <c r="R1133" s="151"/>
      <c r="S1133" s="151"/>
      <c r="T1133" s="151"/>
      <c r="U1133" s="151"/>
      <c r="V1133" s="151"/>
      <c r="W1133" s="151"/>
      <c r="X1133" s="151"/>
      <c r="Y1133" s="151"/>
      <c r="Z1133" s="151"/>
      <c r="AA1133" s="151"/>
      <c r="AB1133" s="151"/>
      <c r="AC1133" s="151"/>
      <c r="AD1133" s="151"/>
      <c r="AE1133" s="151"/>
      <c r="AF1133" s="238"/>
    </row>
    <row r="1134" spans="1:35" s="109" customFormat="1" ht="18.75" customHeight="1" x14ac:dyDescent="0.2">
      <c r="A1134" s="139"/>
      <c r="B1134" s="123"/>
      <c r="C1134" s="140"/>
      <c r="D1134" s="141"/>
      <c r="E1134" s="128"/>
      <c r="F1134" s="142"/>
      <c r="G1134" s="270"/>
      <c r="H1134" s="694" t="s">
        <v>160</v>
      </c>
      <c r="I1134" s="695" t="s">
        <v>383</v>
      </c>
      <c r="J1134" s="697" t="s">
        <v>250</v>
      </c>
      <c r="K1134" s="697"/>
      <c r="L1134" s="695" t="s">
        <v>383</v>
      </c>
      <c r="M1134" s="697" t="s">
        <v>267</v>
      </c>
      <c r="N1134" s="697"/>
      <c r="O1134" s="172"/>
      <c r="P1134" s="172"/>
      <c r="Q1134" s="172"/>
      <c r="R1134" s="172"/>
      <c r="S1134" s="172"/>
      <c r="T1134" s="172"/>
      <c r="U1134" s="172"/>
      <c r="V1134" s="172"/>
      <c r="W1134" s="172"/>
      <c r="X1134" s="172"/>
      <c r="Y1134" s="172"/>
      <c r="Z1134" s="172"/>
      <c r="AA1134" s="172"/>
      <c r="AB1134" s="172"/>
      <c r="AC1134" s="172"/>
      <c r="AD1134" s="172"/>
      <c r="AE1134" s="172"/>
      <c r="AF1134" s="209"/>
      <c r="AI1134" s="109" t="str">
        <f>"15:field182:" &amp; IF(I1134="■",1,IF(L1134="■",2,0))</f>
        <v>15:field182:0</v>
      </c>
    </row>
    <row r="1135" spans="1:35" s="109" customFormat="1" ht="18.75" customHeight="1" x14ac:dyDescent="0.2">
      <c r="A1135" s="139"/>
      <c r="B1135" s="123"/>
      <c r="C1135" s="140"/>
      <c r="D1135" s="141"/>
      <c r="E1135" s="128"/>
      <c r="F1135" s="142"/>
      <c r="G1135" s="270"/>
      <c r="H1135" s="693"/>
      <c r="I1135" s="696"/>
      <c r="J1135" s="698"/>
      <c r="K1135" s="698"/>
      <c r="L1135" s="696"/>
      <c r="M1135" s="698"/>
      <c r="N1135" s="698"/>
      <c r="O1135" s="151"/>
      <c r="P1135" s="151"/>
      <c r="Q1135" s="151"/>
      <c r="R1135" s="151"/>
      <c r="S1135" s="151"/>
      <c r="T1135" s="151"/>
      <c r="U1135" s="151"/>
      <c r="V1135" s="151"/>
      <c r="W1135" s="151"/>
      <c r="X1135" s="151"/>
      <c r="Y1135" s="151"/>
      <c r="Z1135" s="151"/>
      <c r="AA1135" s="151"/>
      <c r="AB1135" s="151"/>
      <c r="AC1135" s="151"/>
      <c r="AD1135" s="151"/>
      <c r="AE1135" s="151"/>
      <c r="AF1135" s="238"/>
    </row>
    <row r="1136" spans="1:35" s="109" customFormat="1" ht="18.75" customHeight="1" x14ac:dyDescent="0.2">
      <c r="A1136" s="139"/>
      <c r="B1136" s="123"/>
      <c r="C1136" s="140"/>
      <c r="D1136" s="141"/>
      <c r="E1136" s="128"/>
      <c r="F1136" s="142"/>
      <c r="G1136" s="270"/>
      <c r="H1136" s="694" t="s">
        <v>161</v>
      </c>
      <c r="I1136" s="695" t="s">
        <v>383</v>
      </c>
      <c r="J1136" s="697" t="s">
        <v>250</v>
      </c>
      <c r="K1136" s="697"/>
      <c r="L1136" s="695" t="s">
        <v>383</v>
      </c>
      <c r="M1136" s="697" t="s">
        <v>267</v>
      </c>
      <c r="N1136" s="697"/>
      <c r="O1136" s="172"/>
      <c r="P1136" s="172"/>
      <c r="Q1136" s="172"/>
      <c r="R1136" s="172"/>
      <c r="S1136" s="172"/>
      <c r="T1136" s="172"/>
      <c r="U1136" s="172"/>
      <c r="V1136" s="172"/>
      <c r="W1136" s="172"/>
      <c r="X1136" s="172"/>
      <c r="Y1136" s="172"/>
      <c r="Z1136" s="172"/>
      <c r="AA1136" s="172"/>
      <c r="AB1136" s="172"/>
      <c r="AC1136" s="172"/>
      <c r="AD1136" s="172"/>
      <c r="AE1136" s="172"/>
      <c r="AF1136" s="209"/>
      <c r="AI1136" s="109" t="str">
        <f>"15:field183:" &amp; IF(I1136="■",1,IF(L1136="■",2,0))</f>
        <v>15:field183:0</v>
      </c>
    </row>
    <row r="1137" spans="1:35" s="109" customFormat="1" ht="18.75" customHeight="1" x14ac:dyDescent="0.2">
      <c r="A1137" s="139"/>
      <c r="B1137" s="123"/>
      <c r="C1137" s="140"/>
      <c r="D1137" s="141"/>
      <c r="E1137" s="128"/>
      <c r="F1137" s="142"/>
      <c r="G1137" s="270"/>
      <c r="H1137" s="693"/>
      <c r="I1137" s="696"/>
      <c r="J1137" s="698"/>
      <c r="K1137" s="698"/>
      <c r="L1137" s="696"/>
      <c r="M1137" s="698"/>
      <c r="N1137" s="698"/>
      <c r="O1137" s="151"/>
      <c r="P1137" s="151"/>
      <c r="Q1137" s="151"/>
      <c r="R1137" s="151"/>
      <c r="S1137" s="151"/>
      <c r="T1137" s="151"/>
      <c r="U1137" s="151"/>
      <c r="V1137" s="151"/>
      <c r="W1137" s="151"/>
      <c r="X1137" s="151"/>
      <c r="Y1137" s="151"/>
      <c r="Z1137" s="151"/>
      <c r="AA1137" s="151"/>
      <c r="AB1137" s="151"/>
      <c r="AC1137" s="151"/>
      <c r="AD1137" s="151"/>
      <c r="AE1137" s="151"/>
      <c r="AF1137" s="238"/>
    </row>
    <row r="1138" spans="1:35" s="109" customFormat="1" ht="18.75" customHeight="1" x14ac:dyDescent="0.2">
      <c r="A1138" s="139"/>
      <c r="B1138" s="123"/>
      <c r="C1138" s="140"/>
      <c r="D1138" s="141"/>
      <c r="E1138" s="128"/>
      <c r="F1138" s="142"/>
      <c r="G1138" s="270"/>
      <c r="H1138" s="694" t="s">
        <v>162</v>
      </c>
      <c r="I1138" s="695" t="s">
        <v>383</v>
      </c>
      <c r="J1138" s="697" t="s">
        <v>250</v>
      </c>
      <c r="K1138" s="697"/>
      <c r="L1138" s="695" t="s">
        <v>383</v>
      </c>
      <c r="M1138" s="697" t="s">
        <v>267</v>
      </c>
      <c r="N1138" s="697"/>
      <c r="O1138" s="172"/>
      <c r="P1138" s="172"/>
      <c r="Q1138" s="172"/>
      <c r="R1138" s="172"/>
      <c r="S1138" s="172"/>
      <c r="T1138" s="172"/>
      <c r="U1138" s="172"/>
      <c r="V1138" s="172"/>
      <c r="W1138" s="172"/>
      <c r="X1138" s="172"/>
      <c r="Y1138" s="172"/>
      <c r="Z1138" s="172"/>
      <c r="AA1138" s="172"/>
      <c r="AB1138" s="172"/>
      <c r="AC1138" s="172"/>
      <c r="AD1138" s="172"/>
      <c r="AE1138" s="172"/>
      <c r="AF1138" s="209"/>
      <c r="AI1138" s="109" t="str">
        <f>"15:field184:" &amp; IF(I1138="■",1,IF(L1138="■",2,0))</f>
        <v>15:field184:0</v>
      </c>
    </row>
    <row r="1139" spans="1:35" s="109" customFormat="1" ht="18.75" customHeight="1" x14ac:dyDescent="0.2">
      <c r="A1139" s="139"/>
      <c r="B1139" s="123"/>
      <c r="C1139" s="140"/>
      <c r="D1139" s="125" t="s">
        <v>383</v>
      </c>
      <c r="E1139" s="128" t="s">
        <v>286</v>
      </c>
      <c r="F1139" s="142"/>
      <c r="G1139" s="270"/>
      <c r="H1139" s="693"/>
      <c r="I1139" s="696"/>
      <c r="J1139" s="698"/>
      <c r="K1139" s="698"/>
      <c r="L1139" s="696"/>
      <c r="M1139" s="698"/>
      <c r="N1139" s="698"/>
      <c r="O1139" s="151"/>
      <c r="P1139" s="151"/>
      <c r="Q1139" s="151"/>
      <c r="R1139" s="151"/>
      <c r="S1139" s="151"/>
      <c r="T1139" s="151"/>
      <c r="U1139" s="151"/>
      <c r="V1139" s="151"/>
      <c r="W1139" s="151"/>
      <c r="X1139" s="151"/>
      <c r="Y1139" s="151"/>
      <c r="Z1139" s="151"/>
      <c r="AA1139" s="151"/>
      <c r="AB1139" s="151"/>
      <c r="AC1139" s="151"/>
      <c r="AD1139" s="151"/>
      <c r="AE1139" s="151"/>
      <c r="AF1139" s="238"/>
    </row>
    <row r="1140" spans="1:35" s="109" customFormat="1" ht="18.75" customHeight="1" x14ac:dyDescent="0.2">
      <c r="A1140" s="125" t="s">
        <v>383</v>
      </c>
      <c r="B1140" s="123">
        <v>15</v>
      </c>
      <c r="C1140" s="237" t="s">
        <v>5</v>
      </c>
      <c r="D1140" s="125" t="s">
        <v>383</v>
      </c>
      <c r="E1140" s="128" t="s">
        <v>287</v>
      </c>
      <c r="F1140" s="142"/>
      <c r="G1140" s="270"/>
      <c r="H1140" s="239" t="s">
        <v>147</v>
      </c>
      <c r="I1140" s="150" t="s">
        <v>383</v>
      </c>
      <c r="J1140" s="169" t="s">
        <v>250</v>
      </c>
      <c r="K1140" s="179"/>
      <c r="L1140" s="203" t="s">
        <v>383</v>
      </c>
      <c r="M1140" s="169" t="s">
        <v>267</v>
      </c>
      <c r="N1140" s="179"/>
      <c r="O1140" s="207"/>
      <c r="P1140" s="207"/>
      <c r="Q1140" s="207"/>
      <c r="R1140" s="207"/>
      <c r="S1140" s="207"/>
      <c r="T1140" s="207"/>
      <c r="U1140" s="207"/>
      <c r="V1140" s="207"/>
      <c r="W1140" s="207"/>
      <c r="X1140" s="207"/>
      <c r="Y1140" s="207"/>
      <c r="Z1140" s="207"/>
      <c r="AA1140" s="207"/>
      <c r="AB1140" s="207"/>
      <c r="AC1140" s="207"/>
      <c r="AD1140" s="207"/>
      <c r="AE1140" s="207"/>
      <c r="AF1140" s="208"/>
      <c r="AI1140" s="109" t="str">
        <f>"15:field151:" &amp; IF(I1140="■",1,IF(L1140="■",2,0))</f>
        <v>15:field151:0</v>
      </c>
    </row>
    <row r="1141" spans="1:35" s="109" customFormat="1" ht="18.75" customHeight="1" x14ac:dyDescent="0.2">
      <c r="A1141" s="139"/>
      <c r="B1141" s="123"/>
      <c r="C1141" s="140"/>
      <c r="D1141" s="125" t="s">
        <v>383</v>
      </c>
      <c r="E1141" s="128" t="s">
        <v>288</v>
      </c>
      <c r="F1141" s="142"/>
      <c r="G1141" s="270"/>
      <c r="H1141" s="164" t="s">
        <v>230</v>
      </c>
      <c r="I1141" s="156" t="s">
        <v>383</v>
      </c>
      <c r="J1141" s="157" t="s">
        <v>250</v>
      </c>
      <c r="K1141" s="157"/>
      <c r="L1141" s="160" t="s">
        <v>383</v>
      </c>
      <c r="M1141" s="157" t="s">
        <v>251</v>
      </c>
      <c r="N1141" s="157"/>
      <c r="O1141" s="160" t="s">
        <v>383</v>
      </c>
      <c r="P1141" s="157" t="s">
        <v>252</v>
      </c>
      <c r="Q1141" s="162"/>
      <c r="R1141" s="240"/>
      <c r="S1141" s="240"/>
      <c r="T1141" s="240"/>
      <c r="U1141" s="240"/>
      <c r="V1141" s="240"/>
      <c r="W1141" s="240"/>
      <c r="X1141" s="240"/>
      <c r="Y1141" s="240"/>
      <c r="Z1141" s="240"/>
      <c r="AA1141" s="240"/>
      <c r="AB1141" s="240"/>
      <c r="AC1141" s="240"/>
      <c r="AD1141" s="240"/>
      <c r="AE1141" s="240"/>
      <c r="AF1141" s="241"/>
      <c r="AI1141" s="109" t="str">
        <f>"15:nyukai_code:" &amp; IF(I1141="■",1,IF(O1141="■",3,IF(L1141="■",2,0)))</f>
        <v>15:nyukai_code:0</v>
      </c>
    </row>
    <row r="1142" spans="1:35" s="109" customFormat="1" ht="18.75" customHeight="1" x14ac:dyDescent="0.2">
      <c r="A1142" s="139"/>
      <c r="B1142" s="123"/>
      <c r="C1142" s="140"/>
      <c r="D1142" s="141"/>
      <c r="E1142" s="128"/>
      <c r="F1142" s="142"/>
      <c r="G1142" s="270"/>
      <c r="H1142" s="164" t="s">
        <v>166</v>
      </c>
      <c r="I1142" s="150" t="s">
        <v>383</v>
      </c>
      <c r="J1142" s="169" t="s">
        <v>250</v>
      </c>
      <c r="K1142" s="179"/>
      <c r="L1142" s="203" t="s">
        <v>383</v>
      </c>
      <c r="M1142" s="169" t="s">
        <v>267</v>
      </c>
      <c r="N1142" s="179"/>
      <c r="O1142" s="162"/>
      <c r="P1142" s="162"/>
      <c r="Q1142" s="162"/>
      <c r="R1142" s="162"/>
      <c r="S1142" s="162"/>
      <c r="T1142" s="162"/>
      <c r="U1142" s="162"/>
      <c r="V1142" s="162"/>
      <c r="W1142" s="162"/>
      <c r="X1142" s="162"/>
      <c r="Y1142" s="162"/>
      <c r="Z1142" s="162"/>
      <c r="AA1142" s="162"/>
      <c r="AB1142" s="162"/>
      <c r="AC1142" s="162"/>
      <c r="AD1142" s="162"/>
      <c r="AE1142" s="162"/>
      <c r="AF1142" s="163"/>
      <c r="AI1142" s="109" t="str">
        <f>"15:field153:" &amp; IF(I1142="■",1,IF(L1142="■",2,0))</f>
        <v>15:field153:0</v>
      </c>
    </row>
    <row r="1143" spans="1:35" s="109" customFormat="1" ht="18.75" customHeight="1" x14ac:dyDescent="0.2">
      <c r="A1143" s="139"/>
      <c r="B1143" s="123"/>
      <c r="C1143" s="140"/>
      <c r="D1143" s="141"/>
      <c r="E1143" s="128"/>
      <c r="F1143" s="142"/>
      <c r="G1143" s="270"/>
      <c r="H1143" s="164" t="s">
        <v>145</v>
      </c>
      <c r="I1143" s="156" t="s">
        <v>383</v>
      </c>
      <c r="J1143" s="157" t="s">
        <v>250</v>
      </c>
      <c r="K1143" s="157"/>
      <c r="L1143" s="160" t="s">
        <v>383</v>
      </c>
      <c r="M1143" s="157" t="s">
        <v>268</v>
      </c>
      <c r="N1143" s="157"/>
      <c r="O1143" s="160" t="s">
        <v>383</v>
      </c>
      <c r="P1143" s="157" t="s">
        <v>269</v>
      </c>
      <c r="Q1143" s="162"/>
      <c r="R1143" s="207"/>
      <c r="S1143" s="207"/>
      <c r="T1143" s="207"/>
      <c r="U1143" s="207"/>
      <c r="V1143" s="207"/>
      <c r="W1143" s="207"/>
      <c r="X1143" s="207"/>
      <c r="Y1143" s="207"/>
      <c r="Z1143" s="207"/>
      <c r="AA1143" s="207"/>
      <c r="AB1143" s="207"/>
      <c r="AC1143" s="207"/>
      <c r="AD1143" s="207"/>
      <c r="AE1143" s="207"/>
      <c r="AF1143" s="208"/>
      <c r="AI1143" s="109" t="str">
        <f>"15:field185:" &amp; IF(I1143="■",1,IF(L1143="■",3,IF(O1143="■",2,0)))</f>
        <v>15:field185:0</v>
      </c>
    </row>
    <row r="1144" spans="1:35" s="109" customFormat="1" ht="18.75" customHeight="1" x14ac:dyDescent="0.2">
      <c r="A1144" s="139"/>
      <c r="B1144" s="123"/>
      <c r="C1144" s="140"/>
      <c r="D1144" s="141"/>
      <c r="E1144" s="128"/>
      <c r="F1144" s="142"/>
      <c r="G1144" s="270"/>
      <c r="H1144" s="164" t="s">
        <v>204</v>
      </c>
      <c r="I1144" s="156" t="s">
        <v>383</v>
      </c>
      <c r="J1144" s="157" t="s">
        <v>250</v>
      </c>
      <c r="K1144" s="157"/>
      <c r="L1144" s="160" t="s">
        <v>383</v>
      </c>
      <c r="M1144" s="157" t="s">
        <v>284</v>
      </c>
      <c r="N1144" s="207"/>
      <c r="O1144" s="207"/>
      <c r="P1144" s="160" t="s">
        <v>383</v>
      </c>
      <c r="Q1144" s="157" t="s">
        <v>285</v>
      </c>
      <c r="R1144" s="207"/>
      <c r="S1144" s="207"/>
      <c r="T1144" s="207"/>
      <c r="U1144" s="207"/>
      <c r="V1144" s="207"/>
      <c r="W1144" s="207"/>
      <c r="X1144" s="207"/>
      <c r="Y1144" s="207"/>
      <c r="Z1144" s="207"/>
      <c r="AA1144" s="207"/>
      <c r="AB1144" s="207"/>
      <c r="AC1144" s="207"/>
      <c r="AD1144" s="207"/>
      <c r="AE1144" s="207"/>
      <c r="AF1144" s="208"/>
      <c r="AI1144" s="109" t="str">
        <f>"15:field205:" &amp; IF(I1144="■",1,IF(P1144="■",3,IF(L1144="■",2,0)))</f>
        <v>15:field205:0</v>
      </c>
    </row>
    <row r="1145" spans="1:35" s="109" customFormat="1" ht="18.75" customHeight="1" x14ac:dyDescent="0.2">
      <c r="A1145" s="139"/>
      <c r="B1145" s="123"/>
      <c r="C1145" s="140"/>
      <c r="D1145" s="141"/>
      <c r="E1145" s="128"/>
      <c r="F1145" s="142"/>
      <c r="G1145" s="270"/>
      <c r="H1145" s="164" t="s">
        <v>189</v>
      </c>
      <c r="I1145" s="150" t="s">
        <v>383</v>
      </c>
      <c r="J1145" s="169" t="s">
        <v>250</v>
      </c>
      <c r="K1145" s="179"/>
      <c r="L1145" s="203" t="s">
        <v>383</v>
      </c>
      <c r="M1145" s="169" t="s">
        <v>267</v>
      </c>
      <c r="N1145" s="179"/>
      <c r="O1145" s="207"/>
      <c r="P1145" s="207"/>
      <c r="Q1145" s="207"/>
      <c r="R1145" s="207"/>
      <c r="S1145" s="207"/>
      <c r="T1145" s="207"/>
      <c r="U1145" s="207"/>
      <c r="V1145" s="207"/>
      <c r="W1145" s="207"/>
      <c r="X1145" s="207"/>
      <c r="Y1145" s="207"/>
      <c r="Z1145" s="207"/>
      <c r="AA1145" s="207"/>
      <c r="AB1145" s="207"/>
      <c r="AC1145" s="207"/>
      <c r="AD1145" s="207"/>
      <c r="AE1145" s="207"/>
      <c r="AF1145" s="208"/>
      <c r="AI1145" s="109" t="str">
        <f>"15:field186:" &amp; IF(I1145="■",1,IF(L1145="■",2,0))</f>
        <v>15:field186:0</v>
      </c>
    </row>
    <row r="1146" spans="1:35" s="109" customFormat="1" ht="18.75" customHeight="1" x14ac:dyDescent="0.2">
      <c r="A1146" s="139"/>
      <c r="B1146" s="123"/>
      <c r="C1146" s="140"/>
      <c r="D1146" s="141"/>
      <c r="E1146" s="128"/>
      <c r="F1146" s="142"/>
      <c r="G1146" s="270"/>
      <c r="H1146" s="242" t="s">
        <v>129</v>
      </c>
      <c r="I1146" s="150" t="s">
        <v>383</v>
      </c>
      <c r="J1146" s="169" t="s">
        <v>250</v>
      </c>
      <c r="K1146" s="179"/>
      <c r="L1146" s="203" t="s">
        <v>383</v>
      </c>
      <c r="M1146" s="169" t="s">
        <v>267</v>
      </c>
      <c r="N1146" s="179"/>
      <c r="O1146" s="162"/>
      <c r="P1146" s="162"/>
      <c r="Q1146" s="162"/>
      <c r="R1146" s="162"/>
      <c r="S1146" s="162"/>
      <c r="T1146" s="162"/>
      <c r="U1146" s="162"/>
      <c r="V1146" s="162"/>
      <c r="W1146" s="162"/>
      <c r="X1146" s="162"/>
      <c r="Y1146" s="162"/>
      <c r="Z1146" s="162"/>
      <c r="AA1146" s="162"/>
      <c r="AB1146" s="162"/>
      <c r="AC1146" s="162"/>
      <c r="AD1146" s="162"/>
      <c r="AE1146" s="162"/>
      <c r="AF1146" s="163"/>
      <c r="AI1146" s="109" t="str">
        <f>"15:field167:" &amp; IF(I1146="■",1,IF(L1146="■",2,0))</f>
        <v>15:field167:0</v>
      </c>
    </row>
    <row r="1147" spans="1:35" s="109" customFormat="1" ht="18.75" customHeight="1" x14ac:dyDescent="0.2">
      <c r="A1147" s="139"/>
      <c r="B1147" s="123"/>
      <c r="C1147" s="140"/>
      <c r="D1147" s="141"/>
      <c r="E1147" s="128"/>
      <c r="F1147" s="142"/>
      <c r="G1147" s="270"/>
      <c r="H1147" s="242" t="s">
        <v>110</v>
      </c>
      <c r="I1147" s="150" t="s">
        <v>383</v>
      </c>
      <c r="J1147" s="169" t="s">
        <v>250</v>
      </c>
      <c r="K1147" s="179"/>
      <c r="L1147" s="203" t="s">
        <v>383</v>
      </c>
      <c r="M1147" s="169" t="s">
        <v>267</v>
      </c>
      <c r="N1147" s="179"/>
      <c r="O1147" s="162"/>
      <c r="P1147" s="162"/>
      <c r="Q1147" s="162"/>
      <c r="R1147" s="162"/>
      <c r="S1147" s="162"/>
      <c r="T1147" s="162"/>
      <c r="U1147" s="162"/>
      <c r="V1147" s="162"/>
      <c r="W1147" s="162"/>
      <c r="X1147" s="162"/>
      <c r="Y1147" s="162"/>
      <c r="Z1147" s="162"/>
      <c r="AA1147" s="162"/>
      <c r="AB1147" s="162"/>
      <c r="AC1147" s="162"/>
      <c r="AD1147" s="162"/>
      <c r="AE1147" s="162"/>
      <c r="AF1147" s="163"/>
      <c r="AI1147" s="109" t="str">
        <f>"15:jyakuninti_uke_code:" &amp; IF(I1147="■",1,IF(L1147="■",2,0))</f>
        <v>15:jyakuninti_uke_code:0</v>
      </c>
    </row>
    <row r="1148" spans="1:35" s="109" customFormat="1" ht="18.75" customHeight="1" x14ac:dyDescent="0.2">
      <c r="A1148" s="139"/>
      <c r="B1148" s="123"/>
      <c r="C1148" s="140"/>
      <c r="D1148" s="141"/>
      <c r="E1148" s="128"/>
      <c r="F1148" s="142"/>
      <c r="G1148" s="270"/>
      <c r="H1148" s="126" t="s">
        <v>236</v>
      </c>
      <c r="I1148" s="150" t="s">
        <v>383</v>
      </c>
      <c r="J1148" s="169" t="s">
        <v>250</v>
      </c>
      <c r="K1148" s="179"/>
      <c r="L1148" s="203" t="s">
        <v>383</v>
      </c>
      <c r="M1148" s="169" t="s">
        <v>267</v>
      </c>
      <c r="N1148" s="179"/>
      <c r="O1148" s="162"/>
      <c r="P1148" s="162"/>
      <c r="Q1148" s="162"/>
      <c r="R1148" s="162"/>
      <c r="S1148" s="162"/>
      <c r="T1148" s="162"/>
      <c r="U1148" s="162"/>
      <c r="V1148" s="162"/>
      <c r="W1148" s="162"/>
      <c r="X1148" s="162"/>
      <c r="Y1148" s="162"/>
      <c r="Z1148" s="162"/>
      <c r="AA1148" s="162"/>
      <c r="AB1148" s="162"/>
      <c r="AC1148" s="162"/>
      <c r="AD1148" s="162"/>
      <c r="AE1148" s="162"/>
      <c r="AF1148" s="163"/>
      <c r="AI1148" s="109" t="str">
        <f>"15:eiyomana_code:" &amp; IF(I1148="■",1,IF(L1148="■",2,0))</f>
        <v>15:eiyomana_code:0</v>
      </c>
    </row>
    <row r="1149" spans="1:35" s="109" customFormat="1" ht="18.75" customHeight="1" x14ac:dyDescent="0.2">
      <c r="A1149" s="139"/>
      <c r="B1149" s="123"/>
      <c r="C1149" s="140"/>
      <c r="D1149" s="141"/>
      <c r="E1149" s="128"/>
      <c r="F1149" s="142"/>
      <c r="G1149" s="270"/>
      <c r="H1149" s="164" t="s">
        <v>205</v>
      </c>
      <c r="I1149" s="150" t="s">
        <v>383</v>
      </c>
      <c r="J1149" s="169" t="s">
        <v>250</v>
      </c>
      <c r="K1149" s="179"/>
      <c r="L1149" s="203" t="s">
        <v>383</v>
      </c>
      <c r="M1149" s="169" t="s">
        <v>267</v>
      </c>
      <c r="N1149" s="179"/>
      <c r="O1149" s="157"/>
      <c r="P1149" s="157"/>
      <c r="Q1149" s="157"/>
      <c r="R1149" s="157"/>
      <c r="S1149" s="157"/>
      <c r="T1149" s="157"/>
      <c r="U1149" s="157"/>
      <c r="V1149" s="157"/>
      <c r="W1149" s="157"/>
      <c r="X1149" s="157"/>
      <c r="Y1149" s="157"/>
      <c r="Z1149" s="157"/>
      <c r="AA1149" s="157"/>
      <c r="AB1149" s="157"/>
      <c r="AC1149" s="157"/>
      <c r="AD1149" s="157"/>
      <c r="AE1149" s="157"/>
      <c r="AF1149" s="165"/>
      <c r="AI1149" s="109" t="str">
        <f>"15:koukoukino_code:" &amp; IF(I1149="■",1,IF(L1149="■",2,0))</f>
        <v>15:koukoukino_code:0</v>
      </c>
    </row>
    <row r="1150" spans="1:35" s="109" customFormat="1" ht="18.75" customHeight="1" x14ac:dyDescent="0.2">
      <c r="A1150" s="183"/>
      <c r="B1150" s="184"/>
      <c r="C1150" s="185"/>
      <c r="D1150" s="186"/>
      <c r="E1150" s="187"/>
      <c r="F1150" s="188"/>
      <c r="G1150" s="267"/>
      <c r="H1150" s="221" t="s">
        <v>197</v>
      </c>
      <c r="I1150" s="190" t="s">
        <v>383</v>
      </c>
      <c r="J1150" s="222" t="s">
        <v>250</v>
      </c>
      <c r="K1150" s="230"/>
      <c r="L1150" s="191" t="s">
        <v>383</v>
      </c>
      <c r="M1150" s="222" t="s">
        <v>267</v>
      </c>
      <c r="N1150" s="230"/>
      <c r="O1150" s="222"/>
      <c r="P1150" s="222"/>
      <c r="Q1150" s="222"/>
      <c r="R1150" s="222"/>
      <c r="S1150" s="222"/>
      <c r="T1150" s="222"/>
      <c r="U1150" s="222"/>
      <c r="V1150" s="222"/>
      <c r="W1150" s="222"/>
      <c r="X1150" s="222"/>
      <c r="Y1150" s="222"/>
      <c r="Z1150" s="222"/>
      <c r="AA1150" s="222"/>
      <c r="AB1150" s="222"/>
      <c r="AC1150" s="222"/>
      <c r="AD1150" s="222"/>
      <c r="AE1150" s="222"/>
      <c r="AF1150" s="285"/>
      <c r="AI1150" s="109" t="str">
        <f>"15:field212:" &amp; IF(I1150="■",1,IF(L1150="■",2,0))</f>
        <v>15:field212:0</v>
      </c>
    </row>
    <row r="1151" spans="1:35" s="109" customFormat="1" ht="8.25" customHeight="1" x14ac:dyDescent="0.2">
      <c r="A1151" s="286"/>
      <c r="B1151" s="286"/>
      <c r="C1151" s="108"/>
      <c r="D1151" s="108"/>
      <c r="E1151" s="108"/>
      <c r="F1151" s="108"/>
      <c r="G1151" s="126"/>
      <c r="H1151" s="126"/>
      <c r="I1151" s="126"/>
      <c r="J1151" s="126"/>
      <c r="K1151" s="126"/>
      <c r="L1151" s="126"/>
      <c r="M1151" s="126"/>
      <c r="N1151" s="126"/>
      <c r="O1151" s="126"/>
      <c r="P1151" s="126"/>
      <c r="Q1151" s="126"/>
      <c r="R1151" s="126"/>
      <c r="S1151" s="126"/>
      <c r="T1151" s="126"/>
      <c r="U1151" s="126"/>
      <c r="V1151" s="126"/>
      <c r="W1151" s="126"/>
      <c r="X1151" s="126"/>
      <c r="Y1151" s="126"/>
      <c r="Z1151" s="126"/>
      <c r="AA1151" s="126"/>
      <c r="AB1151" s="126"/>
      <c r="AC1151" s="108"/>
      <c r="AD1151" s="108"/>
      <c r="AE1151" s="108"/>
      <c r="AF1151" s="108"/>
    </row>
    <row r="1152" spans="1:35" s="109" customFormat="1" ht="20.25" customHeight="1" x14ac:dyDescent="0.2">
      <c r="A1152" s="286"/>
      <c r="B1152" s="286"/>
      <c r="C1152" s="2" t="s">
        <v>180</v>
      </c>
      <c r="D1152" s="126"/>
      <c r="E1152" s="287"/>
      <c r="F1152" s="287"/>
      <c r="G1152" s="287"/>
      <c r="H1152" s="287"/>
      <c r="I1152" s="287"/>
      <c r="J1152" s="287"/>
      <c r="K1152" s="287"/>
      <c r="L1152" s="287"/>
      <c r="M1152" s="287"/>
      <c r="N1152" s="287"/>
      <c r="O1152" s="287"/>
      <c r="P1152" s="287"/>
      <c r="Q1152" s="287"/>
      <c r="R1152" s="287"/>
      <c r="S1152" s="287"/>
      <c r="T1152" s="287"/>
      <c r="U1152" s="287"/>
      <c r="V1152" s="287"/>
      <c r="W1152" s="108"/>
      <c r="X1152" s="108"/>
      <c r="Y1152" s="108"/>
      <c r="Z1152" s="108"/>
      <c r="AA1152" s="108"/>
      <c r="AB1152" s="108"/>
      <c r="AC1152" s="108"/>
      <c r="AD1152" s="108"/>
      <c r="AE1152" s="108"/>
      <c r="AF1152" s="108"/>
    </row>
  </sheetData>
  <mergeCells count="675">
    <mergeCell ref="H836:H837"/>
    <mergeCell ref="H861:H862"/>
    <mergeCell ref="H896:H897"/>
    <mergeCell ref="H932:H933"/>
    <mergeCell ref="H956:H957"/>
    <mergeCell ref="H981:H982"/>
    <mergeCell ref="H1017:H1018"/>
    <mergeCell ref="H1053:H1054"/>
    <mergeCell ref="H1078:H1079"/>
    <mergeCell ref="H584:H585"/>
    <mergeCell ref="H604:H605"/>
    <mergeCell ref="H616:H617"/>
    <mergeCell ref="AC624:AF635"/>
    <mergeCell ref="H674:H675"/>
    <mergeCell ref="H707:H708"/>
    <mergeCell ref="H739:H740"/>
    <mergeCell ref="H775:H776"/>
    <mergeCell ref="H810:H811"/>
    <mergeCell ref="H510:H511"/>
    <mergeCell ref="H534:H535"/>
    <mergeCell ref="I534:I535"/>
    <mergeCell ref="J534:K535"/>
    <mergeCell ref="L534:L535"/>
    <mergeCell ref="M534:N535"/>
    <mergeCell ref="H536:H537"/>
    <mergeCell ref="H560:H561"/>
    <mergeCell ref="I560:I561"/>
    <mergeCell ref="J560:K561"/>
    <mergeCell ref="L560:L561"/>
    <mergeCell ref="M560:N561"/>
    <mergeCell ref="J486:K487"/>
    <mergeCell ref="L486:L487"/>
    <mergeCell ref="M486:N487"/>
    <mergeCell ref="H488:H489"/>
    <mergeCell ref="H508:H509"/>
    <mergeCell ref="I508:I509"/>
    <mergeCell ref="J508:K509"/>
    <mergeCell ref="L508:L509"/>
    <mergeCell ref="M508:N509"/>
    <mergeCell ref="H214:H215"/>
    <mergeCell ref="H239:H240"/>
    <mergeCell ref="H263:H264"/>
    <mergeCell ref="H284:H285"/>
    <mergeCell ref="H304:H305"/>
    <mergeCell ref="H327:H328"/>
    <mergeCell ref="H351:H352"/>
    <mergeCell ref="H375:H376"/>
    <mergeCell ref="H395:H396"/>
    <mergeCell ref="AC48:AF65"/>
    <mergeCell ref="AC66:AF79"/>
    <mergeCell ref="H114:H115"/>
    <mergeCell ref="H138:H139"/>
    <mergeCell ref="M966:N967"/>
    <mergeCell ref="AC777:AF811"/>
    <mergeCell ref="H778:H780"/>
    <mergeCell ref="H799:H800"/>
    <mergeCell ref="AC838:AF862"/>
    <mergeCell ref="H839:H841"/>
    <mergeCell ref="H847:H848"/>
    <mergeCell ref="I847:I848"/>
    <mergeCell ref="J847:K848"/>
    <mergeCell ref="L847:L848"/>
    <mergeCell ref="M847:N848"/>
    <mergeCell ref="L942:L943"/>
    <mergeCell ref="M942:N943"/>
    <mergeCell ref="M906:N907"/>
    <mergeCell ref="H914:H915"/>
    <mergeCell ref="H916:H917"/>
    <mergeCell ref="Q882:S883"/>
    <mergeCell ref="P918:P919"/>
    <mergeCell ref="Q918:S919"/>
    <mergeCell ref="T918:T919"/>
    <mergeCell ref="U918:X919"/>
    <mergeCell ref="H934:H935"/>
    <mergeCell ref="AC934:AF957"/>
    <mergeCell ref="J966:K967"/>
    <mergeCell ref="AC195:AF215"/>
    <mergeCell ref="H196:H197"/>
    <mergeCell ref="H212:H213"/>
    <mergeCell ref="I212:I213"/>
    <mergeCell ref="J212:K213"/>
    <mergeCell ref="L212:L213"/>
    <mergeCell ref="M212:N213"/>
    <mergeCell ref="H490:H491"/>
    <mergeCell ref="AC490:AF511"/>
    <mergeCell ref="H492:H493"/>
    <mergeCell ref="AC286:AF305"/>
    <mergeCell ref="H287:H288"/>
    <mergeCell ref="H302:H303"/>
    <mergeCell ref="I302:I303"/>
    <mergeCell ref="J302:K303"/>
    <mergeCell ref="L302:L303"/>
    <mergeCell ref="M302:N303"/>
    <mergeCell ref="H469:H470"/>
    <mergeCell ref="AC469:AF489"/>
    <mergeCell ref="H1138:H1139"/>
    <mergeCell ref="I1138:I1139"/>
    <mergeCell ref="J1138:K1139"/>
    <mergeCell ref="L1138:L1139"/>
    <mergeCell ref="M1138:N1139"/>
    <mergeCell ref="H958:H959"/>
    <mergeCell ref="AC958:AF982"/>
    <mergeCell ref="H960:H961"/>
    <mergeCell ref="H966:H967"/>
    <mergeCell ref="I966:I967"/>
    <mergeCell ref="H1134:H1135"/>
    <mergeCell ref="I1134:I1135"/>
    <mergeCell ref="J1134:K1135"/>
    <mergeCell ref="L1134:L1135"/>
    <mergeCell ref="M1134:N1135"/>
    <mergeCell ref="H1136:H1137"/>
    <mergeCell ref="I1136:I1137"/>
    <mergeCell ref="J1136:K1137"/>
    <mergeCell ref="L1136:L1137"/>
    <mergeCell ref="M1136:N1137"/>
    <mergeCell ref="H471:H472"/>
    <mergeCell ref="H443:H444"/>
    <mergeCell ref="AC443:AF468"/>
    <mergeCell ref="H445:H446"/>
    <mergeCell ref="H459:H460"/>
    <mergeCell ref="H461:H462"/>
    <mergeCell ref="H465:H466"/>
    <mergeCell ref="I465:I466"/>
    <mergeCell ref="J465:K466"/>
    <mergeCell ref="L465:L466"/>
    <mergeCell ref="M465:N466"/>
    <mergeCell ref="H467:H468"/>
    <mergeCell ref="H486:H487"/>
    <mergeCell ref="I486:I487"/>
    <mergeCell ref="H1124:H1125"/>
    <mergeCell ref="I1124:I1125"/>
    <mergeCell ref="J1124:K1125"/>
    <mergeCell ref="L1124:L1125"/>
    <mergeCell ref="M1124:N1125"/>
    <mergeCell ref="H1132:H1133"/>
    <mergeCell ref="I1132:I1133"/>
    <mergeCell ref="J1132:K1133"/>
    <mergeCell ref="L1132:L1133"/>
    <mergeCell ref="M1132:N1133"/>
    <mergeCell ref="H1119:H1120"/>
    <mergeCell ref="I1119:I1120"/>
    <mergeCell ref="J1119:L1120"/>
    <mergeCell ref="M1119:M1120"/>
    <mergeCell ref="N1119:P1120"/>
    <mergeCell ref="H1121:H1122"/>
    <mergeCell ref="I1121:I1122"/>
    <mergeCell ref="J1121:L1122"/>
    <mergeCell ref="M1121:M1122"/>
    <mergeCell ref="N1121:P1122"/>
    <mergeCell ref="H1112:H1113"/>
    <mergeCell ref="I1112:I1113"/>
    <mergeCell ref="J1112:L1113"/>
    <mergeCell ref="M1112:M1113"/>
    <mergeCell ref="N1112:P1113"/>
    <mergeCell ref="H1114:H1115"/>
    <mergeCell ref="I1114:I1115"/>
    <mergeCell ref="J1114:L1115"/>
    <mergeCell ref="M1114:M1115"/>
    <mergeCell ref="N1114:P1115"/>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1083:E1083"/>
    <mergeCell ref="F1083:J1083"/>
    <mergeCell ref="K1083:R1083"/>
    <mergeCell ref="H1055:H1056"/>
    <mergeCell ref="AC1055:AF1079"/>
    <mergeCell ref="H1057:H1058"/>
    <mergeCell ref="H1064:H1065"/>
    <mergeCell ref="I1064:I1065"/>
    <mergeCell ref="J1064:K1065"/>
    <mergeCell ref="L1064:L1065"/>
    <mergeCell ref="M1064:N1065"/>
    <mergeCell ref="I1039:I1040"/>
    <mergeCell ref="J1039:K1040"/>
    <mergeCell ref="L1039:L1040"/>
    <mergeCell ref="M1039:O1040"/>
    <mergeCell ref="P1039:P1040"/>
    <mergeCell ref="Q1039:S1040"/>
    <mergeCell ref="AC1019:AF1054"/>
    <mergeCell ref="H1021:H1022"/>
    <mergeCell ref="H1028:H1029"/>
    <mergeCell ref="I1028:I1029"/>
    <mergeCell ref="J1028:K1029"/>
    <mergeCell ref="L1028:L1029"/>
    <mergeCell ref="M1028:N1029"/>
    <mergeCell ref="H1035:H1036"/>
    <mergeCell ref="H1037:H1038"/>
    <mergeCell ref="H1039:H1040"/>
    <mergeCell ref="M882:O883"/>
    <mergeCell ref="P882:P883"/>
    <mergeCell ref="T1039:T1040"/>
    <mergeCell ref="U1039:X1040"/>
    <mergeCell ref="H983:H984"/>
    <mergeCell ref="AC983:AF1018"/>
    <mergeCell ref="H985:H986"/>
    <mergeCell ref="H992:H993"/>
    <mergeCell ref="I992:I993"/>
    <mergeCell ref="J992:K993"/>
    <mergeCell ref="L992:L993"/>
    <mergeCell ref="M992:N993"/>
    <mergeCell ref="M1003:O1004"/>
    <mergeCell ref="P1003:P1004"/>
    <mergeCell ref="Q1003:S1004"/>
    <mergeCell ref="T1003:T1004"/>
    <mergeCell ref="U1003:X1004"/>
    <mergeCell ref="H1019:H1020"/>
    <mergeCell ref="H999:H1000"/>
    <mergeCell ref="H1001:H1002"/>
    <mergeCell ref="H1003:H1004"/>
    <mergeCell ref="I1003:I1004"/>
    <mergeCell ref="J1003:K1004"/>
    <mergeCell ref="L1003:L1004"/>
    <mergeCell ref="H900:H901"/>
    <mergeCell ref="H906:H907"/>
    <mergeCell ref="I906:I907"/>
    <mergeCell ref="J906:K907"/>
    <mergeCell ref="L906:L907"/>
    <mergeCell ref="H882:H883"/>
    <mergeCell ref="I882:I883"/>
    <mergeCell ref="J882:K883"/>
    <mergeCell ref="L882:L883"/>
    <mergeCell ref="L966:L967"/>
    <mergeCell ref="H863:H864"/>
    <mergeCell ref="AC863:AF897"/>
    <mergeCell ref="H865:H866"/>
    <mergeCell ref="H871:H872"/>
    <mergeCell ref="I871:I872"/>
    <mergeCell ref="J871:K872"/>
    <mergeCell ref="L871:L872"/>
    <mergeCell ref="M871:N872"/>
    <mergeCell ref="H878:H879"/>
    <mergeCell ref="H880:H881"/>
    <mergeCell ref="T882:T883"/>
    <mergeCell ref="U882:X883"/>
    <mergeCell ref="H936:H937"/>
    <mergeCell ref="H942:H943"/>
    <mergeCell ref="I942:I943"/>
    <mergeCell ref="J942:K943"/>
    <mergeCell ref="H918:H919"/>
    <mergeCell ref="I918:I919"/>
    <mergeCell ref="J918:K919"/>
    <mergeCell ref="L918:L919"/>
    <mergeCell ref="M918:O919"/>
    <mergeCell ref="H898:H899"/>
    <mergeCell ref="AC898:AF933"/>
    <mergeCell ref="AC812:AF837"/>
    <mergeCell ref="H813:H815"/>
    <mergeCell ref="H821:H822"/>
    <mergeCell ref="I821:I822"/>
    <mergeCell ref="J821:K822"/>
    <mergeCell ref="L821:L822"/>
    <mergeCell ref="M821:N822"/>
    <mergeCell ref="N629:P630"/>
    <mergeCell ref="AC676:AF708"/>
    <mergeCell ref="H677:H679"/>
    <mergeCell ref="AC741:AF776"/>
    <mergeCell ref="H742:H744"/>
    <mergeCell ref="H764:H765"/>
    <mergeCell ref="AC709:AF740"/>
    <mergeCell ref="H710:H712"/>
    <mergeCell ref="H627:H628"/>
    <mergeCell ref="I627:I628"/>
    <mergeCell ref="J627:L628"/>
    <mergeCell ref="M627:M628"/>
    <mergeCell ref="N627:P628"/>
    <mergeCell ref="H629:H630"/>
    <mergeCell ref="I629:I630"/>
    <mergeCell ref="J629:L630"/>
    <mergeCell ref="M629:M630"/>
    <mergeCell ref="N622:P623"/>
    <mergeCell ref="H624:H625"/>
    <mergeCell ref="I624:I625"/>
    <mergeCell ref="J624:K625"/>
    <mergeCell ref="L624:L625"/>
    <mergeCell ref="M624:O625"/>
    <mergeCell ref="AC618:AF623"/>
    <mergeCell ref="H620:H621"/>
    <mergeCell ref="I620:I621"/>
    <mergeCell ref="J620:L621"/>
    <mergeCell ref="M620:M621"/>
    <mergeCell ref="N620:P621"/>
    <mergeCell ref="H622:H623"/>
    <mergeCell ref="I622:I623"/>
    <mergeCell ref="J622:L623"/>
    <mergeCell ref="M622:M623"/>
    <mergeCell ref="H564:H565"/>
    <mergeCell ref="AC564:AF585"/>
    <mergeCell ref="H566:H567"/>
    <mergeCell ref="H538:H539"/>
    <mergeCell ref="AC538:AF563"/>
    <mergeCell ref="H540:H541"/>
    <mergeCell ref="H554:H555"/>
    <mergeCell ref="H556:H557"/>
    <mergeCell ref="H562:H563"/>
    <mergeCell ref="H582:H583"/>
    <mergeCell ref="I582:I583"/>
    <mergeCell ref="J582:K583"/>
    <mergeCell ref="L582:L583"/>
    <mergeCell ref="M582:N583"/>
    <mergeCell ref="H512:H513"/>
    <mergeCell ref="AC512:AF537"/>
    <mergeCell ref="H514:H515"/>
    <mergeCell ref="H528:H529"/>
    <mergeCell ref="H530:H531"/>
    <mergeCell ref="AC418:AF442"/>
    <mergeCell ref="H420:H421"/>
    <mergeCell ref="H433:H434"/>
    <mergeCell ref="H435:H436"/>
    <mergeCell ref="H418:H419"/>
    <mergeCell ref="H439:H440"/>
    <mergeCell ref="I439:I440"/>
    <mergeCell ref="J439:K440"/>
    <mergeCell ref="L439:L440"/>
    <mergeCell ref="M439:N440"/>
    <mergeCell ref="H441:H442"/>
    <mergeCell ref="AC397:AF417"/>
    <mergeCell ref="H409:H410"/>
    <mergeCell ref="H411:H412"/>
    <mergeCell ref="H414:H415"/>
    <mergeCell ref="I414:I415"/>
    <mergeCell ref="J414:K415"/>
    <mergeCell ref="L414:L415"/>
    <mergeCell ref="M414:N415"/>
    <mergeCell ref="AC377:AF396"/>
    <mergeCell ref="H387:H388"/>
    <mergeCell ref="H390:H391"/>
    <mergeCell ref="H393:H394"/>
    <mergeCell ref="I393:I394"/>
    <mergeCell ref="J393:K394"/>
    <mergeCell ref="L393:L394"/>
    <mergeCell ref="M393:N394"/>
    <mergeCell ref="H416:H417"/>
    <mergeCell ref="H353:H354"/>
    <mergeCell ref="AC353:AF376"/>
    <mergeCell ref="H368:H369"/>
    <mergeCell ref="H370:H371"/>
    <mergeCell ref="H373:H374"/>
    <mergeCell ref="I373:I374"/>
    <mergeCell ref="J373:K374"/>
    <mergeCell ref="L373:L374"/>
    <mergeCell ref="M373:N374"/>
    <mergeCell ref="H329:H330"/>
    <mergeCell ref="AC329:AF352"/>
    <mergeCell ref="H344:H345"/>
    <mergeCell ref="H346:H347"/>
    <mergeCell ref="H349:H350"/>
    <mergeCell ref="I349:I350"/>
    <mergeCell ref="J349:K350"/>
    <mergeCell ref="L349:L350"/>
    <mergeCell ref="M349:N350"/>
    <mergeCell ref="H306:H307"/>
    <mergeCell ref="AC306:AF328"/>
    <mergeCell ref="H320:H321"/>
    <mergeCell ref="H322:H323"/>
    <mergeCell ref="H325:H326"/>
    <mergeCell ref="I325:I326"/>
    <mergeCell ref="J325:K326"/>
    <mergeCell ref="L325:L326"/>
    <mergeCell ref="M325:N326"/>
    <mergeCell ref="AC265:AF285"/>
    <mergeCell ref="H266:H267"/>
    <mergeCell ref="H282:H283"/>
    <mergeCell ref="I282:I283"/>
    <mergeCell ref="J282:K283"/>
    <mergeCell ref="L282:L283"/>
    <mergeCell ref="M282:N283"/>
    <mergeCell ref="AC216:AF240"/>
    <mergeCell ref="H217:H218"/>
    <mergeCell ref="H237:H238"/>
    <mergeCell ref="I237:I238"/>
    <mergeCell ref="J237:K238"/>
    <mergeCell ref="L237:L238"/>
    <mergeCell ref="M237:N238"/>
    <mergeCell ref="AC241:AF264"/>
    <mergeCell ref="H242:H243"/>
    <mergeCell ref="H261:H262"/>
    <mergeCell ref="I261:I262"/>
    <mergeCell ref="J261:K262"/>
    <mergeCell ref="L261:L262"/>
    <mergeCell ref="M261:N262"/>
    <mergeCell ref="AC173:AF194"/>
    <mergeCell ref="H174:H175"/>
    <mergeCell ref="H191:H192"/>
    <mergeCell ref="I191:I192"/>
    <mergeCell ref="J191:K192"/>
    <mergeCell ref="L191:L192"/>
    <mergeCell ref="M191:N192"/>
    <mergeCell ref="P167:Q168"/>
    <mergeCell ref="R167:R168"/>
    <mergeCell ref="S167:T168"/>
    <mergeCell ref="H169:H170"/>
    <mergeCell ref="I169:I170"/>
    <mergeCell ref="J169:K170"/>
    <mergeCell ref="L169:L170"/>
    <mergeCell ref="M169:N170"/>
    <mergeCell ref="H171:H172"/>
    <mergeCell ref="H193:H194"/>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L127:L128"/>
    <mergeCell ref="M127:N128"/>
    <mergeCell ref="H146:H147"/>
    <mergeCell ref="I146:I147"/>
    <mergeCell ref="J146:K147"/>
    <mergeCell ref="L146:L147"/>
    <mergeCell ref="M146:N147"/>
    <mergeCell ref="H116:H117"/>
    <mergeCell ref="AC116:AF139"/>
    <mergeCell ref="H120:H122"/>
    <mergeCell ref="I120:I122"/>
    <mergeCell ref="J120:K122"/>
    <mergeCell ref="L120:L122"/>
    <mergeCell ref="M120:N122"/>
    <mergeCell ref="H127:H128"/>
    <mergeCell ref="I127:I128"/>
    <mergeCell ref="J127:K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M71:M72"/>
    <mergeCell ref="N71:P72"/>
    <mergeCell ref="H74:H75"/>
    <mergeCell ref="I74:I75"/>
    <mergeCell ref="J74:K75"/>
    <mergeCell ref="L74:L75"/>
    <mergeCell ref="M74:N75"/>
    <mergeCell ref="H62:H64"/>
    <mergeCell ref="H69:H70"/>
    <mergeCell ref="I69:I70"/>
    <mergeCell ref="J69:L70"/>
    <mergeCell ref="M69:M70"/>
    <mergeCell ref="N69:P70"/>
    <mergeCell ref="H71:H72"/>
    <mergeCell ref="I71:I72"/>
    <mergeCell ref="J71:L72"/>
    <mergeCell ref="N51:P52"/>
    <mergeCell ref="H53:H54"/>
    <mergeCell ref="I53:I54"/>
    <mergeCell ref="J53:L54"/>
    <mergeCell ref="M53:M54"/>
    <mergeCell ref="N53:P54"/>
    <mergeCell ref="H41:H42"/>
    <mergeCell ref="I41:I42"/>
    <mergeCell ref="J41:L42"/>
    <mergeCell ref="M41:M42"/>
    <mergeCell ref="N41:P42"/>
    <mergeCell ref="H51:H52"/>
    <mergeCell ref="I51:I52"/>
    <mergeCell ref="J51:L52"/>
    <mergeCell ref="M51:M52"/>
    <mergeCell ref="H46:H47"/>
    <mergeCell ref="H30:H31"/>
    <mergeCell ref="I30:I31"/>
    <mergeCell ref="J30:L31"/>
    <mergeCell ref="M30:M31"/>
    <mergeCell ref="N30:P31"/>
    <mergeCell ref="H39:H40"/>
    <mergeCell ref="I39:I40"/>
    <mergeCell ref="J39:L40"/>
    <mergeCell ref="M39:M40"/>
    <mergeCell ref="N39:P40"/>
    <mergeCell ref="H34:H35"/>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 ref="A5:E5"/>
    <mergeCell ref="F5:J5"/>
    <mergeCell ref="K5:R5"/>
  </mergeCells>
  <phoneticPr fontId="1"/>
  <conditionalFormatting sqref="A1:AF4 A6:AF33 A1084:AF1048576 S1083:AF1083 I34:I35 Y34:AF35 A36:AF45 A49:AB64 I46:I47 A67:AB77 I65 Y65:AB65 A48:AC48 A80:AF113 I79 L79 A78:X78 Y78:AB79 A66:AC66 A116:AF137 I114:I115 I138:I139 A140:AF415 A418:AF438 A443:AF464 A469:AF485 A490:AF507 A512:AF533 A538:AF559 A564:AF581 A586:AF602 A606:AF615 H604:H605 H603:AF603 A603:G605 Y604:AF605 A618:AF623 A624:AC624 A625:AB635 A676:AF706 A636:AF673 Y674:AF675 A674:H675 A709:AF738 A741:AF774 A777:AF809 A812:AF835 A838:AF860 A863:AF895 A898:AF931 A934:AF955 A958:AF980 A983:AF1016 A1019:AF1052 A1055:AF1077 A1080:AF1082">
    <cfRule type="expression" dxfId="222" priority="69">
      <formula>CELL("protect",A1)=0</formula>
    </cfRule>
  </conditionalFormatting>
  <conditionalFormatting sqref="S5:AF5">
    <cfRule type="expression" dxfId="221" priority="68">
      <formula>CELL("protect",S5)=0</formula>
    </cfRule>
  </conditionalFormatting>
  <conditionalFormatting sqref="A5:R5">
    <cfRule type="expression" dxfId="220" priority="67">
      <formula>CELL("protect",A5)=0</formula>
    </cfRule>
  </conditionalFormatting>
  <conditionalFormatting sqref="A1083:R1083">
    <cfRule type="expression" dxfId="219" priority="66">
      <formula>CELL("protect",A1083)=0</formula>
    </cfRule>
  </conditionalFormatting>
  <conditionalFormatting sqref="A34:G35">
    <cfRule type="expression" dxfId="218" priority="65">
      <formula>CELL("protect",A34)=0</formula>
    </cfRule>
  </conditionalFormatting>
  <conditionalFormatting sqref="M34:M35">
    <cfRule type="expression" dxfId="217" priority="64">
      <formula>CELL("protect",M34)=0</formula>
    </cfRule>
  </conditionalFormatting>
  <conditionalFormatting sqref="Q34:Q35">
    <cfRule type="expression" dxfId="216" priority="63">
      <formula>CELL("protect",Q34)=0</formula>
    </cfRule>
  </conditionalFormatting>
  <conditionalFormatting sqref="U35">
    <cfRule type="expression" dxfId="215" priority="62">
      <formula>CELL("protect",U35)=0</formula>
    </cfRule>
  </conditionalFormatting>
  <conditionalFormatting sqref="Y46:AF47 A46:G47">
    <cfRule type="expression" dxfId="214" priority="61">
      <formula>CELL("protect",A46)=0</formula>
    </cfRule>
  </conditionalFormatting>
  <conditionalFormatting sqref="M46:M47">
    <cfRule type="expression" dxfId="213" priority="60">
      <formula>CELL("protect",M46)=0</formula>
    </cfRule>
  </conditionalFormatting>
  <conditionalFormatting sqref="Q46:Q47">
    <cfRule type="expression" dxfId="212" priority="59">
      <formula>CELL("protect",Q46)=0</formula>
    </cfRule>
  </conditionalFormatting>
  <conditionalFormatting sqref="U47">
    <cfRule type="expression" dxfId="211" priority="58">
      <formula>CELL("protect",U47)=0</formula>
    </cfRule>
  </conditionalFormatting>
  <conditionalFormatting sqref="A65:G65">
    <cfRule type="expression" dxfId="210" priority="57">
      <formula>CELL("protect",A65)=0</formula>
    </cfRule>
  </conditionalFormatting>
  <conditionalFormatting sqref="L65">
    <cfRule type="expression" dxfId="209" priority="55">
      <formula>CELL("protect",L65)=0</formula>
    </cfRule>
  </conditionalFormatting>
  <conditionalFormatting sqref="A79:G79">
    <cfRule type="expression" dxfId="208" priority="54">
      <formula>CELL("protect",A79)=0</formula>
    </cfRule>
  </conditionalFormatting>
  <conditionalFormatting sqref="Y114:AF115 A114:G115">
    <cfRule type="expression" dxfId="207" priority="53">
      <formula>CELL("protect",A114)=0</formula>
    </cfRule>
  </conditionalFormatting>
  <conditionalFormatting sqref="M114:M115">
    <cfRule type="expression" dxfId="206" priority="52">
      <formula>CELL("protect",M114)=0</formula>
    </cfRule>
  </conditionalFormatting>
  <conditionalFormatting sqref="Q114:Q115">
    <cfRule type="expression" dxfId="205" priority="51">
      <formula>CELL("protect",Q114)=0</formula>
    </cfRule>
  </conditionalFormatting>
  <conditionalFormatting sqref="U115">
    <cfRule type="expression" dxfId="204" priority="50">
      <formula>CELL("protect",U115)=0</formula>
    </cfRule>
  </conditionalFormatting>
  <conditionalFormatting sqref="Y138:AB139 A138:G139">
    <cfRule type="expression" dxfId="203" priority="49">
      <formula>CELL("protect",A138)=0</formula>
    </cfRule>
  </conditionalFormatting>
  <conditionalFormatting sqref="M138:M139">
    <cfRule type="expression" dxfId="202" priority="48">
      <formula>CELL("protect",M138)=0</formula>
    </cfRule>
  </conditionalFormatting>
  <conditionalFormatting sqref="Q138:Q139">
    <cfRule type="expression" dxfId="201" priority="47">
      <formula>CELL("protect",Q138)=0</formula>
    </cfRule>
  </conditionalFormatting>
  <conditionalFormatting sqref="U139">
    <cfRule type="expression" dxfId="200" priority="46">
      <formula>CELL("protect",U139)=0</formula>
    </cfRule>
  </conditionalFormatting>
  <conditionalFormatting sqref="A416:AF417">
    <cfRule type="expression" dxfId="199" priority="45">
      <formula>CELL("protect",A416)=0</formula>
    </cfRule>
  </conditionalFormatting>
  <conditionalFormatting sqref="A439:AF440">
    <cfRule type="expression" dxfId="198" priority="44">
      <formula>CELL("protect",A439)=0</formula>
    </cfRule>
  </conditionalFormatting>
  <conditionalFormatting sqref="A441:AF442">
    <cfRule type="expression" dxfId="197" priority="43">
      <formula>CELL("protect",A441)=0</formula>
    </cfRule>
  </conditionalFormatting>
  <conditionalFormatting sqref="A465:AF466">
    <cfRule type="expression" dxfId="196" priority="42">
      <formula>CELL("protect",A465)=0</formula>
    </cfRule>
  </conditionalFormatting>
  <conditionalFormatting sqref="A467:AF468">
    <cfRule type="expression" dxfId="195" priority="41">
      <formula>CELL("protect",A467)=0</formula>
    </cfRule>
  </conditionalFormatting>
  <conditionalFormatting sqref="A486:AF487">
    <cfRule type="expression" dxfId="194" priority="40">
      <formula>CELL("protect",A486)=0</formula>
    </cfRule>
  </conditionalFormatting>
  <conditionalFormatting sqref="A488:AF489">
    <cfRule type="expression" dxfId="193" priority="39">
      <formula>CELL("protect",A488)=0</formula>
    </cfRule>
  </conditionalFormatting>
  <conditionalFormatting sqref="A508:AF509">
    <cfRule type="expression" dxfId="192" priority="38">
      <formula>CELL("protect",A508)=0</formula>
    </cfRule>
  </conditionalFormatting>
  <conditionalFormatting sqref="A510:AF511">
    <cfRule type="expression" dxfId="191" priority="37">
      <formula>CELL("protect",A510)=0</formula>
    </cfRule>
  </conditionalFormatting>
  <conditionalFormatting sqref="A534:AF535">
    <cfRule type="expression" dxfId="190" priority="36">
      <formula>CELL("protect",A534)=0</formula>
    </cfRule>
  </conditionalFormatting>
  <conditionalFormatting sqref="A536:AF537">
    <cfRule type="expression" dxfId="189" priority="35">
      <formula>CELL("protect",A536)=0</formula>
    </cfRule>
  </conditionalFormatting>
  <conditionalFormatting sqref="A560:AF561">
    <cfRule type="expression" dxfId="188" priority="34">
      <formula>CELL("protect",A560)=0</formula>
    </cfRule>
  </conditionalFormatting>
  <conditionalFormatting sqref="A562:AF563">
    <cfRule type="expression" dxfId="187" priority="33">
      <formula>CELL("protect",A562)=0</formula>
    </cfRule>
  </conditionalFormatting>
  <conditionalFormatting sqref="A582:AF583">
    <cfRule type="expression" dxfId="186" priority="32">
      <formula>CELL("protect",A582)=0</formula>
    </cfRule>
  </conditionalFormatting>
  <conditionalFormatting sqref="A584:AF585">
    <cfRule type="expression" dxfId="185" priority="31">
      <formula>CELL("protect",A584)=0</formula>
    </cfRule>
  </conditionalFormatting>
  <conditionalFormatting sqref="I604:X605">
    <cfRule type="expression" dxfId="184" priority="30">
      <formula>CELL("protect",I604)=0</formula>
    </cfRule>
  </conditionalFormatting>
  <conditionalFormatting sqref="A616:H617 Y616:AF617">
    <cfRule type="expression" dxfId="183" priority="29">
      <formula>CELL("protect",A616)=0</formula>
    </cfRule>
  </conditionalFormatting>
  <conditionalFormatting sqref="I616:X617">
    <cfRule type="expression" dxfId="182" priority="28">
      <formula>CELL("protect",I616)=0</formula>
    </cfRule>
  </conditionalFormatting>
  <conditionalFormatting sqref="I674:X675">
    <cfRule type="expression" dxfId="181" priority="27">
      <formula>CELL("protect",I674)=0</formula>
    </cfRule>
  </conditionalFormatting>
  <conditionalFormatting sqref="I707:X708">
    <cfRule type="expression" dxfId="180" priority="25">
      <formula>CELL("protect",I707)=0</formula>
    </cfRule>
  </conditionalFormatting>
  <conditionalFormatting sqref="Y707:AF708 A707:H708">
    <cfRule type="expression" dxfId="179" priority="26">
      <formula>CELL("protect",A707)=0</formula>
    </cfRule>
  </conditionalFormatting>
  <conditionalFormatting sqref="I739:X740">
    <cfRule type="expression" dxfId="178" priority="23">
      <formula>CELL("protect",I739)=0</formula>
    </cfRule>
  </conditionalFormatting>
  <conditionalFormatting sqref="Y739:AF740 A739:H740">
    <cfRule type="expression" dxfId="177" priority="24">
      <formula>CELL("protect",A739)=0</formula>
    </cfRule>
  </conditionalFormatting>
  <conditionalFormatting sqref="I775:X776">
    <cfRule type="expression" dxfId="176" priority="21">
      <formula>CELL("protect",I775)=0</formula>
    </cfRule>
  </conditionalFormatting>
  <conditionalFormatting sqref="Y775:AF776 A775:H776">
    <cfRule type="expression" dxfId="175" priority="22">
      <formula>CELL("protect",A775)=0</formula>
    </cfRule>
  </conditionalFormatting>
  <conditionalFormatting sqref="I810:X811">
    <cfRule type="expression" dxfId="174" priority="19">
      <formula>CELL("protect",I810)=0</formula>
    </cfRule>
  </conditionalFormatting>
  <conditionalFormatting sqref="Y810:AF811 A810:H811">
    <cfRule type="expression" dxfId="173" priority="20">
      <formula>CELL("protect",A810)=0</formula>
    </cfRule>
  </conditionalFormatting>
  <conditionalFormatting sqref="I836:X837">
    <cfRule type="expression" dxfId="172" priority="17">
      <formula>CELL("protect",I836)=0</formula>
    </cfRule>
  </conditionalFormatting>
  <conditionalFormatting sqref="Y836:AF837 A836:H837">
    <cfRule type="expression" dxfId="171" priority="18">
      <formula>CELL("protect",A836)=0</formula>
    </cfRule>
  </conditionalFormatting>
  <conditionalFormatting sqref="I861:X862">
    <cfRule type="expression" dxfId="170" priority="15">
      <formula>CELL("protect",I861)=0</formula>
    </cfRule>
  </conditionalFormatting>
  <conditionalFormatting sqref="Y861:AF862 A861:H862">
    <cfRule type="expression" dxfId="169" priority="16">
      <formula>CELL("protect",A861)=0</formula>
    </cfRule>
  </conditionalFormatting>
  <conditionalFormatting sqref="I896:X897">
    <cfRule type="expression" dxfId="168" priority="13">
      <formula>CELL("protect",I896)=0</formula>
    </cfRule>
  </conditionalFormatting>
  <conditionalFormatting sqref="Y896:AF897 A896:H897">
    <cfRule type="expression" dxfId="167" priority="14">
      <formula>CELL("protect",A896)=0</formula>
    </cfRule>
  </conditionalFormatting>
  <conditionalFormatting sqref="I932:X933">
    <cfRule type="expression" dxfId="166" priority="11">
      <formula>CELL("protect",I932)=0</formula>
    </cfRule>
  </conditionalFormatting>
  <conditionalFormatting sqref="Y932:AF933 A932:H933">
    <cfRule type="expression" dxfId="165" priority="12">
      <formula>CELL("protect",A932)=0</formula>
    </cfRule>
  </conditionalFormatting>
  <conditionalFormatting sqref="I956:X957">
    <cfRule type="expression" dxfId="164" priority="9">
      <formula>CELL("protect",I956)=0</formula>
    </cfRule>
  </conditionalFormatting>
  <conditionalFormatting sqref="Y956:AF957 A956:H957">
    <cfRule type="expression" dxfId="163" priority="10">
      <formula>CELL("protect",A956)=0</formula>
    </cfRule>
  </conditionalFormatting>
  <conditionalFormatting sqref="I981:X982">
    <cfRule type="expression" dxfId="162" priority="7">
      <formula>CELL("protect",I981)=0</formula>
    </cfRule>
  </conditionalFormatting>
  <conditionalFormatting sqref="Y981:AF982 A981:H982">
    <cfRule type="expression" dxfId="161" priority="8">
      <formula>CELL("protect",A981)=0</formula>
    </cfRule>
  </conditionalFormatting>
  <conditionalFormatting sqref="I1017:X1018">
    <cfRule type="expression" dxfId="160" priority="5">
      <formula>CELL("protect",I1017)=0</formula>
    </cfRule>
  </conditionalFormatting>
  <conditionalFormatting sqref="Y1017:AF1018 A1017:H1018">
    <cfRule type="expression" dxfId="159" priority="6">
      <formula>CELL("protect",A1017)=0</formula>
    </cfRule>
  </conditionalFormatting>
  <conditionalFormatting sqref="I1053:X1054">
    <cfRule type="expression" dxfId="158" priority="3">
      <formula>CELL("protect",I1053)=0</formula>
    </cfRule>
  </conditionalFormatting>
  <conditionalFormatting sqref="Y1053:AF1054 A1053:H1054">
    <cfRule type="expression" dxfId="157" priority="4">
      <formula>CELL("protect",A1053)=0</formula>
    </cfRule>
  </conditionalFormatting>
  <conditionalFormatting sqref="I1078:X1079">
    <cfRule type="expression" dxfId="156" priority="1">
      <formula>CELL("protect",I1078)=0</formula>
    </cfRule>
  </conditionalFormatting>
  <conditionalFormatting sqref="Y1078:AF1079 A1078:H1079">
    <cfRule type="expression" dxfId="155" priority="2">
      <formula>CELL("protect",A1078)=0</formula>
    </cfRule>
  </conditionalFormatting>
  <dataValidations count="1">
    <dataValidation type="list" allowBlank="1" showInputMessage="1" showErrorMessage="1" sqref="Q8:Q9 U8:U9 Y10:Y11 AC10:AC11 M13:M14 R15 I1086:I1150 M56 F914:F916 Q141 R165:R168 Y216:Y217 Y265:Y266 Y306:Y307 Y329:Y330 Y353:Y354 Y418:Y419 Y443:Y444 Y469:Y470 Y512:Y513 Y538:Y539 Y564:Y565 M87:M89 Y140:Y141 O55 A72 M51:M54 AC87:AC88 L90:L92 O103 O105 Q114:Q117 D100:D102 L120:L122 O125 U985 U126 D71:D73 O163:O168 F878:F880 O149 O152:O153 Q174:Q175 Y173:Y174 L181:L184 U174 O188:O190 Q217:Q218 U217 N225 S225 L224 M228 O234:O236 R236 Q266:Q267 U266 P229 O279:O281 U308 Q304:Q306 O318:O319 P320 M322 Q322:Q323 O324 R324 Q327:Q329 Q331 U331 F320 M339 P344 O342:O343 M346 O348 R348 Q346:Q347 Q355 U355 O366:O367 P368 M370 Q370:Q371 O372 R372 L382 O386 P387 M390 Q390:Q391 O392 R392 L403 P409 M411 O407:O408 O413 R413 D1139:D1141 Q411:Q412 M428 O431:O432 P433 M435 R438 Q445 L453 L455:L458 O457:O458 P459 M461 R464 Q471 L478 O482:O485 Q514 L522 L524:L527 O526:O527 P528 M530 O532:O533 Q540 L548 L550:L553 O552:O553 P554 M556 O558:O559 Q566 L574 D574 O578:O581 L1064:L1065 A101 F183:F184 M160 D123:D131 F316 D478 L651:L661 O590 F338 L338 F340 L364:L367 F342 L389 A364 F383 L405:L408 F429:F431 A294 A478 D524 D550 A574 D55:D57 Y80:Y81 A155 A227 L124:L125 A340 A524 F574:F575 A594 Y586:Y587 O592 AC586:AC587 M620:M623 L624:L626 O632 R632 U632 F408 P637 L643:L649 L637 M636 T637 Q648 M650 O657 O661 M662 Y636:Y637 AC636:AC637 D592:D597 A652 M680:M684 U677 O695:O697 O691 Y676:Y677 M627:M630 Q677:Q678 A691 M745:M749 U742 O762:O763 A1140 P757 Q764:Q765 Y741:Y742 AC606:AC607 U813 Q742:Q743 Y812:Y813 O1109 D879 U708 Q156 O60 F999:F1000 O663:O664 O595 M123 Q73 O129 T882:T883 M880 L146:L159 U900 R190 L942:L943 R281 T1003:T1004 Q1001:Q1002 D154:D157 T1039:T1040 M1037 M1066:M1067 T918:T919 O949:O951 Q880:Q881 O1006:O1008 Y898:Y899 O1042:O1044 M944:M945 O1071:O1073 M1001 M276 Q435:Q436 Q461:Q462 Q530:Q531 Q556:Q557 Q1037:Q1038 M315 L314 L340:L343 M304:M313 L384:L386 Y397:Y398 F385 M575 L85:L86 L55 M1112:M1117 O599 M69:M73 L362 O389 O766 Q126 O184 A183 M363 M383 M404 L427 M454 M479 M523 M549 Q813:Q814 Q1123 M1104:M1107 U1057 Y1055:Y1056 L1111 O610 L758:L763 A550 R652 F314 F322 P34:Q35 M66:M67 L1132:L1150 O1141 O1143 P106 Y48:Y49 Y116:Y117 M126 A430 Y934:Y935 AC140:AC141 F389 M185 L226:L227 L273:L275 P171:Q172 D364:D365 WMG376 A629 M8:M9 U15 L15:L20 M21:M26 L27 M28:M31 L38 M39:M42 P1144 O43 L50 L316:L319 L57:L61 Q62:Q63 L68 A56 Y377:Y378 A41 F1066:F1067 A83 M81:M84 M114:M119 Q87 Y87:Y88 M93 M138:M145 L429:L432 Q420 L619 A620 F691:F692 Y624:Y625 M638:M642 O830:O831 U776 Q865 U865 Y863:Y864 L871:L872 M873:M874 L875:L877 P878 P882:P883 O885:O887 L911:L913 P914 Q900 O921:O923 P918:P919 Q936 U936 L992:L993 M994:M995 L996:L998 P999 P1003:P1004 Y983:Y984 Q1021 U1021 Y1019:Y1020 L1028:L1029 M1030:M1031 L1032:L1034 P1035 P1039:P1040 Q1057 M1086:M1087 Q1086:Q1087 U1086:U1087 L1093:L1096 M1097:M1102 L1103 L1118 M1119:M1123 L1124:L1127 M1128:M1131 Q1128 P46:Q47 P138:Q139 P193:Q194 D1066 A1066 D1036 A1036 D999 A999 Y606:Y607 A758 Y618:Y619 D944 D849 A879 Q604:Q606 M674:M678 M375:M381 F364:F365 A1121 A1113 A1099 D1098:D1100 D1112:D1114 D1120:D1122 U617 Y66:Y67 VIS352 F387 WMG396 U1079 O15 A22 Y36:Y37 L1108:L1109 AC36:AC37 Q308 M327:M337 M395:M402 F404 D294 M604:M609 A944 D915 A915 M1091:M1092 M1110 Q985 D21:D23 A127 D317 A317 F318 F312 D340 D386 A386 D406 F406 A406 D430 F454:F456 R507 F524:F525 F593:F594 A611 D610:D613 D651:D654 O651:O652 M916 Q916:Q917 D183 Q196:Q197 Y195:Y196 L202:L205 U196 O209:O211 M171:M180 R211 O205 A204 F204:F205 M206 D204 D226:D227 Y241:Y242 Q242:Q243 U242 N249 S249 L248 M252 O258:O260 R260 P253 A251 L250:L251 D251:D252 M263:M272 WMG285 Y286:Y287 Q287:Q288 U287 A274 O299:O301 R301 M284:M292 M296 L293:L295 D274 M239:M247 A455 D455 Y490:Y491 Q492 L500 O504:O507 D500 A500 M501 F500 F478 L685 M686 M713:M717 U710 O727:O729 O723 Y709:Y710 Q710:Q711 A723 D691 U740 F723:F724 D723 D757:D758 M751 L786:L791 M781:M785 U778 O797:O798 P792 Q799:Q800 Y777:Y778 Q778:Q779 O801 L793:L798 U811 A793 D792:D793 L750 L752:L756 U837 M823 D823 U839 Y838:Y839 Q839:Q840 O855:O856 A849 L821:L822 A823 L906:L907 M968:M970 L966:L967 O974:O976 F968 F944 Y958:Y959 Q960 U960 D968 A968 M908:M910 L32:L35 O33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M34:M37 JL34:JM35 TH34:TI35 ADD34:ADE35 AMZ34:ANA35 AWV34:AWW35 BGR34:BGS35 BQN34:BQO35 CAJ34:CAK35 CKF34:CKG35 CUB34:CUC35 DDX34:DDY35 DNT34:DNU35 DXP34:DXQ35 EHL34:EHM35 ERH34:ERI35 FBD34:FBE35 FKZ34:FLA35 FUV34:FUW35 GER34:GES35 GON34:GOO35 GYJ34:GYK35 HIF34:HIG35 HSB34:HSC35 IBX34:IBY35 ILT34:ILU35 IVP34:IVQ35 JFL34:JFM35 JPH34:JPI35 JZD34:JZE35 KIZ34:KJA35 KSV34:KSW35 LCR34:LCS35 LMN34:LMO35 LWJ34:LWK35 MGF34:MGG35 MQB34:MQC35 MZX34:MZY35 NJT34:NJU35 NTP34:NTQ35 ODL34:ODM35 ONH34:ONI35 OXD34:OXE35 PGZ34:PHA35 PQV34:PQW35 QAR34:QAS35 QKN34:QKO35 QUJ34:QUK35 REF34:REG35 ROB34:ROC35 RXX34:RXY35 SHT34:SHU35 SRP34:SRQ35 TBL34:TBM35 TLH34:TLI35 TVD34:TVE35 UEZ34:UFA35 UOV34:UOW35 UYR34:UYS35 VIN34:VIO35 VSJ34:VSK35 WCF34:WCG35 WMB34:WMC35 WVX34:WVY35 S34:S35 JO34:JO35 TK34:TK35 ADG34:ADG35 ANC34:ANC35 AWY34:AWY35 BGU34:BGU35 BQQ34:BQQ35 CAM34:CAM35 CKI34:CKI35 CUE34:CUE35 DEA34:DEA35 DNW34:DNW35 DXS34:DXS35 EHO34:EHO35 ERK34:ERK35 FBG34:FBG35 FLC34:FLC35 FUY34:FUY35 GEU34:GEU35 GOQ34:GOQ35 GYM34:GYM35 HII34:HII35 HSE34:HSE35 ICA34:ICA35 ILW34:ILW35 IVS34:IVS35 JFO34:JFO35 JPK34:JPK35 JZG34:JZG35 KJC34:KJC35 KSY34:KSY35 LCU34:LCU35 LMQ34:LMQ35 LWM34:LWM35 MGI34:MGI35 MQE34:MQE35 NAA34:NAA35 NJW34:NJW35 NTS34:NTS35 ODO34:ODO35 ONK34:ONK35 OXG34:OXG35 PHC34:PHC35 PQY34:PQY35 QAU34:QAU35 QKQ34:QKQ35 QUM34:QUM35 REI34:REI35 ROE34:ROE35 RYA34:RYA35 SHW34:SHW35 SRS34:SRS35 TBO34:TBO35 TLK34:TLK35 TVG34:TVG35 UFC34:UFC35 UOY34:UOY35 UYU34:UYU35 VIQ34:VIQ35 VSM34:VSM35 WCI34:WCI35 WME34:WME35 WWA34:WWA35 T34:U34 JP34:JQ34 TL34:TM34 ADH34:ADI34 AND34:ANE34 AWZ34:AXA34 BGV34:BGW34 BQR34:BQS34 CAN34:CAO34 CKJ34:CKK34 CUF34:CUG34 DEB34:DEC34 DNX34:DNY34 DXT34:DXU34 EHP34:EHQ34 ERL34:ERM34 FBH34:FBI34 FLD34:FLE34 FUZ34:FVA34 GEV34:GEW34 GOR34:GOS34 GYN34:GYO34 HIJ34:HIK34 HSF34:HSG34 ICB34:ICC34 ILX34:ILY34 IVT34:IVU34 JFP34:JFQ34 JPL34:JPM34 JZH34:JZI34 KJD34:KJE34 KSZ34:KTA34 LCV34:LCW34 LMR34:LMS34 LWN34:LWO34 MGJ34:MGK34 MQF34:MQG34 NAB34:NAC34 NJX34:NJY34 NTT34:NTU34 ODP34:ODQ34 ONL34:ONM34 OXH34:OXI34 PHD34:PHE34 PQZ34:PRA34 QAV34:QAW34 QKR34:QKS34 QUN34:QUO34 REJ34:REK34 ROF34:ROG34 RYB34:RYC34 SHX34:SHY34 SRT34:SRU34 TBP34:TBQ34 TLL34:TLM34 TVH34:TVI34 UFD34:UFE34 UOZ34:UPA34 UYV34:UYW34 VIR34:VIS34 VSN34:VSO34 WCJ34:WCK34 WMF34:WMG34 WWB34:WWC34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35 R45 O45 U47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M46:M49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43:L47 L65 L74:L80 WVT79 O78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R113 O113 U115:U116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L94:L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WWB114:WWC114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P114:P115 O137 R137 U139 JH138:JI139 TD138:TE139 ACZ138:ADA139 AMV138:AMW139 AWR138:AWS139 BGN138:BGO139 BQJ138:BQK139 CAF138:CAG139 CKB138:CKC139 CTX138:CTY139 DDT138:DDU139 DNP138:DNQ139 DXL138:DXM139 EHH138:EHI139 ERD138:ERE139 FAZ138:FBA139 FKV138:FKW139 FUR138:FUS139 GEN138:GEO139 GOJ138:GOK139 GYF138:GYG139 HIB138:HIC139 HRX138:HRY139 IBT138:IBU139 ILP138:ILQ139 IVL138:IVM139 JFH138:JFI139 JPD138:JPE139 JYZ138:JZA139 KIV138:KIW139 KSR138:KSS139 LCN138:LCO139 LMJ138:LMK139 LWF138:LWG139 MGB138:MGC139 MPX138:MPY139 MZT138:MZU139 NJP138:NJQ139 NTL138:NTM139 ODH138:ODI139 OND138:ONE139 OWZ138:OXA139 PGV138:PGW139 PQR138:PQS139 QAN138:QAO139 QKJ138:QKK139 QUF138:QUG139 REB138:REC139 RNX138:RNY139 RXT138:RXU139 SHP138:SHQ139 SRL138:SRM139 TBH138:TBI139 TLD138:TLE139 TUZ138:TVA139 UEV138:UEW139 UOR138:UOS139 UYN138:UYO139 VIJ138:VIK139 VSF138:VSG139 WCB138:WCC139 WLX138:WLY139 WVT138:WVU139 L127:L139 JL138:JM139 TH138:TI139 ADD138:ADE139 AMZ138:ANA139 AWV138:AWW139 BGR138:BGS139 BQN138:BQO139 CAJ138:CAK139 CKF138:CKG139 CUB138:CUC139 DDX138:DDY139 DNT138:DNU139 DXP138:DXQ139 EHL138:EHM139 ERH138:ERI139 FBD138:FBE139 FKZ138:FLA139 FUV138:FUW139 GER138:GES139 GON138:GOO139 GYJ138:GYK139 HIF138:HIG139 HSB138:HSC139 IBX138:IBY139 ILT138:ILU139 IVP138:IVQ139 JFL138:JFM139 JPH138:JPI139 JZD138:JZE139 KIZ138:KJA139 KSV138:KSW139 LCR138:LCS139 LMN138:LMO139 LWJ138:LWK139 MGF138:MGG139 MQB138:MQC139 MZX138:MZY139 NJT138:NJU139 NTP138:NTQ139 ODL138:ODM139 ONH138:ONI139 OXD138:OXE139 PGZ138:PHA139 PQV138:PQW139 QAR138:QAS139 QKN138:QKO139 QUJ138:QUK139 REF138:REG139 ROB138:ROC139 RXX138:RXY139 SHT138:SHU139 SRP138:SRQ139 TBL138:TBM139 TLH138:TLI139 TVD138:TVE139 UEZ138:UFA139 UOV138:UOW139 UYR138:UYS139 VIN138:VIO139 VSJ138:VSK139 WCF138:WCG139 WMB138:WMC139 WVX138:WVY139 S138:S139 JO138:JO139 TK138:TK139 ADG138:ADG139 ANC138:ANC139 AWY138:AWY139 BGU138:BGU139 BQQ138:BQQ139 CAM138:CAM139 CKI138:CKI139 CUE138:CUE139 DEA138:DEA139 DNW138:DNW139 DXS138:DXS139 EHO138:EHO139 ERK138:ERK139 FBG138:FBG139 FLC138:FLC139 FUY138:FUY139 GEU138:GEU139 GOQ138:GOQ139 GYM138:GYM139 HII138:HII139 HSE138:HSE139 ICA138:ICA139 ILW138:ILW139 IVS138:IVS139 JFO138:JFO139 JPK138:JPK139 JZG138:JZG139 KJC138:KJC139 KSY138:KSY139 LCU138:LCU139 LMQ138:LMQ139 LWM138:LWM139 MGI138:MGI139 MQE138:MQE139 NAA138:NAA139 NJW138:NJW139 NTS138:NTS139 ODO138:ODO139 ONK138:ONK139 OXG138:OXG139 PHC138:PHC139 PQY138:PQY139 QAU138:QAU139 QKQ138:QKQ139 QUM138:QUM139 REI138:REI139 ROE138:ROE139 RYA138:RYA139 SHW138:SHW139 SRS138:SRS139 TBO138:TBO139 TLK138:TLK139 TVG138:TVG139 UFC138:UFC139 UOY138:UOY139 UYU138:UYU139 VIQ138:VIQ139 VSM138:VSM139 WCI138:WCI139 WME138:WME139 WWA138:WWA139 T138:U138 JP138:JQ138 TL138:TM138 ADH138:ADI138 AND138:ANE138 AWZ138:AXA138 BGV138:BGW138 BQR138:BQS138 CAN138:CAO138 CKJ138:CKK138 CUF138:CUG138 DEB138:DEC138 DNX138:DNY138 DXT138:DXU138 EHP138:EHQ138 ERL138:ERM138 FBH138:FBI138 FLD138:FLE138 FUZ138:FVA138 GEV138:GEW138 GOR138:GOS138 GYN138:GYO138 HIJ138:HIK138 HSF138:HSG138 ICB138:ICC138 ILX138:ILY138 IVT138:IVU138 JFP138:JFQ138 JPL138:JPM138 JZH138:JZI138 KJD138:KJE138 KSZ138:KTA138 LCV138:LCW138 LMR138:LMS138 LWN138:LWO138 MGJ138:MGK138 MQF138:MQG138 NAB138:NAC138 NJX138:NJY138 NTT138:NTU138 ODP138:ODQ138 ONL138:ONM138 OXH138:OXI138 PHD138:PHE138 PQZ138:PRA138 QAV138:QAW138 QKR138:QKS138 QUN138:QUO138 REJ138:REK138 ROF138:ROG138 RYB138:RYC138 SHX138:SHY138 SRT138:SRU138 TBP138:TBQ138 TLL138:TLM138 TVH138:TVI138 UFD138:UFE138 UOZ138:UPA138 UYV138:UYW138 VIR138:VIS138 VSN138:VSO138 WCJ138:WCK138 WMF138:WMG138 WWB138:WWC138 JQ139 TM139 ADI139 ANE139 AXA139 BGW139 BQS139 CAO139 CKK139 CUG139 DEC139 DNY139 DXU139 EHQ139 ERM139 FBI139 FLE139 FVA139 GEW139 GOS139 GYO139 HIK139 HSG139 ICC139 ILY139 IVU139 JFQ139 JPM139 JZI139 KJE139 KTA139 LCW139 LMS139 LWO139 MGK139 MQG139 NAC139 NJY139 NTU139 ODQ139 ONM139 OXI139 PHE139 PRA139 QAW139 QKS139 QUO139 REK139 ROG139 RYC139 SHY139 SRU139 TBQ139 TLM139 TVI139 UFE139 UPA139 UYW139 VIS139 VSO139 WCK139 WMG139 WWC139 U172 JH171:JI172 TD171:TE172 ACZ171:ADA172 AMV171:AMW172 AWR171:AWS172 BGN171:BGO172 BQJ171:BQK172 CAF171:CAG172 CKB171:CKC172 CTX171:CTY172 DDT171:DDU172 DNP171:DNQ172 DXL171:DXM172 EHH171:EHI172 ERD171:ERE172 FAZ171:FBA172 FKV171:FKW172 FUR171:FUS172 GEN171:GEO172 GOJ171:GOK172 GYF171:GYG172 HIB171:HIC172 HRX171:HRY172 IBT171:IBU172 ILP171:ILQ172 IVL171:IVM172 JFH171:JFI172 JPD171:JPE172 JYZ171:JZA172 KIV171:KIW172 KSR171:KSS172 LCN171:LCO172 LMJ171:LMK172 LWF171:LWG172 MGB171:MGC172 MPX171:MPY172 MZT171:MZU172 NJP171:NJQ172 NTL171:NTM172 ODH171:ODI172 OND171:ONE172 OWZ171:OXA172 PGV171:PGW172 PQR171:PQS172 QAN171:QAO172 QKJ171:QKK172 QUF171:QUG172 REB171:REC172 RNX171:RNY172 RXT171:RXU172 SHP171:SHQ172 SRL171:SRM172 TBH171:TBI172 TLD171:TLE172 TUZ171:TVA172 UEV171:UEW172 UOR171:UOS172 UYN171:UYO172 VIJ171:VIK172 VSF171:VSG172 WCB171:WCC172 WLX171:WLY172 WVT171:WVU172 L161:L172 JL171:JM172 TH171:TI172 ADD171:ADE172 AMZ171:ANA172 AWV171:AWW172 BGR171:BGS172 BQN171:BQO172 CAJ171:CAK172 CKF171:CKG172 CUB171:CUC172 DDX171:DDY172 DNT171:DNU172 DXP171:DXQ172 EHL171:EHM172 ERH171:ERI172 FBD171:FBE172 FKZ171:FLA172 FUV171:FUW172 GER171:GES172 GON171:GOO172 GYJ171:GYK172 HIF171:HIG172 HSB171:HSC172 IBX171:IBY172 ILT171:ILU172 IVP171:IVQ172 JFL171:JFM172 JPH171:JPI172 JZD171:JZE172 KIZ171:KJA172 KSV171:KSW172 LCR171:LCS172 LMN171:LMO172 LWJ171:LWK172 MGF171:MGG172 MQB171:MQC172 MZX171:MZY172 NJT171:NJU172 NTP171:NTQ172 ODL171:ODM172 ONH171:ONI172 OXD171:OXE172 PGZ171:PHA172 PQV171:PQW172 QAR171:QAS172 QKN171:QKO172 QUJ171:QUK172 REF171:REG172 ROB171:ROC172 RXX171:RXY172 SHT171:SHU172 SRP171:SRQ172 TBL171:TBM172 TLH171:TLI172 TVD171:TVE172 UEZ171:UFA172 UOV171:UOW172 UYR171:UYS172 VIN171:VIO172 VSJ171:VSK172 WCF171:WCG172 WMB171:WMC172 WVX171:WVY172 S171:S172 JO171:JO172 TK171:TK172 ADG171:ADG172 ANC171:ANC172 AWY171:AWY172 BGU171:BGU172 BQQ171:BQQ172 CAM171:CAM172 CKI171:CKI172 CUE171:CUE172 DEA171:DEA172 DNW171:DNW172 DXS171:DXS172 EHO171:EHO172 ERK171:ERK172 FBG171:FBG172 FLC171:FLC172 FUY171:FUY172 GEU171:GEU172 GOQ171:GOQ172 GYM171:GYM172 HII171:HII172 HSE171:HSE172 ICA171:ICA172 ILW171:ILW172 IVS171:IVS172 JFO171:JFO172 JPK171:JPK172 JZG171:JZG172 KJC171:KJC172 KSY171:KSY172 LCU171:LCU172 LMQ171:LMQ172 LWM171:LWM172 MGI171:MGI172 MQE171:MQE172 NAA171:NAA172 NJW171:NJW172 NTS171:NTS172 ODO171:ODO172 ONK171:ONK172 OXG171:OXG172 PHC171:PHC172 PQY171:PQY172 QAU171:QAU172 QKQ171:QKQ172 QUM171:QUM172 REI171:REI172 ROE171:ROE172 RYA171:RYA172 SHW171:SHW172 SRS171:SRS172 TBO171:TBO172 TLK171:TLK172 TVG171:TVG172 UFC171:UFC172 UOY171:UOY172 UYU171:UYU172 VIQ171:VIQ172 VSM171:VSM172 WCI171:WCI172 WME171:WME172 WWA171:WWA172 T171:U171 JP171:JQ171 TL171:TM171 ADH171:ADI171 AND171:ANE171 AWZ171:AXA171 BGV171:BGW171 BQR171:BQS171 CAN171:CAO171 CKJ171:CKK171 CUF171:CUG171 DEB171:DEC171 DNX171:DNY171 DXT171:DXU171 EHP171:EHQ171 ERL171:ERM171 FBH171:FBI171 FLD171:FLE171 FUZ171:FVA171 GEV171:GEW171 GOR171:GOS171 GYN171:GYO171 HIJ171:HIK171 HSF171:HSG171 ICB171:ICC171 ILX171:ILY171 IVT171:IVU171 JFP171:JFQ171 JPL171:JPM171 JZH171:JZI171 KJD171:KJE171 KSZ171:KTA171 LCV171:LCW171 LMR171:LMS171 LWN171:LWO171 MGJ171:MGK171 MQF171:MQG171 NAB171:NAC171 NJX171:NJY171 NTT171:NTU171 ODP171:ODQ171 ONL171:ONM171 OXH171:OXI171 PHD171:PHE171 PQZ171:PRA171 QAV171:QAW171 QKR171:QKS171 QUN171:QUO171 REJ171:REK171 ROF171:ROG171 RYB171:RYC171 SHX171:SHY171 SRT171:SRU171 TBP171:TBQ171 TLL171:TLM171 TVH171:TVI171 UFD171:UFE171 UOZ171:UPA171 UYV171:UYW171 VIR171:VIS171 VSN171:VSO171 WCJ171:WCK171 WMF171:WMG171 WWB171:WWC171 JQ172 TM172 ADI172 ANE172 AXA172 BGW172 BQS172 CAO172 CKK172 CUG172 DEC172 DNY172 DXU172 EHQ172 ERM172 FBI172 FLE172 FVA172 GEW172 GOS172 GYO172 HIK172 HSG172 ICC172 ILY172 IVU172 JFQ172 JPM172 JZI172 KJE172 KTA172 LCW172 LMS172 LWO172 MGK172 MQG172 NAC172 NJY172 NTU172 ODQ172 ONM172 OXI172 PHE172 PRA172 QAW172 QKS172 QUO172 REK172 ROG172 RYC172 SHY172 SRU172 TBQ172 TLM172 TVI172 UFE172 UPA172 UYW172 VIS172 VSO172 WCK172 WMG172 WWC172 U194 JH193:JI194 TD193:TE194 ACZ193:ADA194 AMV193:AMW194 AWR193:AWS194 BGN193:BGO194 BQJ193:BQK194 CAF193:CAG194 CKB193:CKC194 CTX193:CTY194 DDT193:DDU194 DNP193:DNQ194 DXL193:DXM194 EHH193:EHI194 ERD193:ERE194 FAZ193:FBA194 FKV193:FKW194 FUR193:FUS194 GEN193:GEO194 GOJ193:GOK194 GYF193:GYG194 HIB193:HIC194 HRX193:HRY194 IBT193:IBU194 ILP193:ILQ194 IVL193:IVM194 JFH193:JFI194 JPD193:JPE194 JYZ193:JZA194 KIV193:KIW194 KSR193:KSS194 LCN193:LCO194 LMJ193:LMK194 LWF193:LWG194 MGB193:MGC194 MPX193:MPY194 MZT193:MZU194 NJP193:NJQ194 NTL193:NTM194 ODH193:ODI194 OND193:ONE194 OWZ193:OXA194 PGV193:PGW194 PQR193:PQS194 QAN193:QAO194 QKJ193:QKK194 QUF193:QUG194 REB193:REC194 RNX193:RNY194 RXT193:RXU194 SHP193:SHQ194 SRL193:SRM194 TBH193:TBI194 TLD193:TLE194 TUZ193:TVA194 UEV193:UEW194 UOR193:UOS194 UYN193:UYO194 VIJ193:VIK194 VSF193:VSG194 WCB193:WCC194 WLX193:WLY194 WVT193:WVU194 M193:M201 JL193:JM194 TH193:TI194 ADD193:ADE194 AMZ193:ANA194 AWV193:AWW194 BGR193:BGS194 BQN193:BQO194 CAJ193:CAK194 CKF193:CKG194 CUB193:CUC194 DDX193:DDY194 DNT193:DNU194 DXP193:DXQ194 EHL193:EHM194 ERH193:ERI194 FBD193:FBE194 FKZ193:FLA194 FUV193:FUW194 GER193:GES194 GON193:GOO194 GYJ193:GYK194 HIF193:HIG194 HSB193:HSC194 IBX193:IBY194 ILT193:ILU194 IVP193:IVQ194 JFL193:JFM194 JPH193:JPI194 JZD193:JZE194 KIZ193:KJA194 KSV193:KSW194 LCR193:LCS194 LMN193:LMO194 LWJ193:LWK194 MGF193:MGG194 MQB193:MQC194 MZX193:MZY194 NJT193:NJU194 NTP193:NTQ194 ODL193:ODM194 ONH193:ONI194 OXD193:OXE194 PGZ193:PHA194 PQV193:PQW194 QAR193:QAS194 QKN193:QKO194 QUJ193:QUK194 REF193:REG194 ROB193:ROC194 RXX193:RXY194 SHT193:SHU194 SRP193:SRQ194 TBL193:TBM194 TLH193:TLI194 TVD193:TVE194 UEZ193:UFA194 UOV193:UOW194 UYR193:UYS194 VIN193:VIO194 VSJ193:VSK194 WCF193:WCG194 WMB193:WMC194 WVX193:WVY194 T193:U193 JP193:JQ193 TL193:TM193 ADH193:ADI193 AND193:ANE193 AWZ193:AXA193 BGV193:BGW193 BQR193:BQS193 CAN193:CAO193 CKJ193:CKK193 CUF193:CUG193 DEB193:DEC193 DNX193:DNY193 DXT193:DXU193 EHP193:EHQ193 ERL193:ERM193 FBH193:FBI193 FLD193:FLE193 FUZ193:FVA193 GEV193:GEW193 GOR193:GOS193 GYN193:GYO193 HIJ193:HIK193 HSF193:HSG193 ICB193:ICC193 ILX193:ILY193 IVT193:IVU193 JFP193:JFQ193 JPL193:JPM193 JZH193:JZI193 KJD193:KJE193 KSZ193:KTA193 LCV193:LCW193 LMR193:LMS193 LWN193:LWO193 MGJ193:MGK193 MQF193:MQG193 NAB193:NAC193 NJX193:NJY193 NTT193:NTU193 ODP193:ODQ193 ONL193:ONM193 OXH193:OXI193 PHD193:PHE193 PQZ193:PRA193 QAV193:QAW193 QKR193:QKS193 QUN193:QUO193 REJ193:REK193 ROF193:ROG193 RYB193:RYC193 SHX193:SHY193 SRT193:SRU193 TBP193:TBQ193 TLL193:TLM193 TVH193:TVI193 UFD193:UFE193 UOZ193:UPA193 UYV193:UYW193 VIR193:VIS193 VSN193:VSO193 WCJ193:WCK193 WMF193:WMG193 WWB193:WWC193 JQ194 TM194 ADI194 ANE194 AXA194 BGW194 BQS194 CAO194 CKK194 CUG194 DEC194 DNY194 DXU194 EHQ194 ERM194 FBI194 FLE194 FVA194 GEW194 GOS194 GYO194 HIK194 HSG194 ICC194 ILY194 IVU194 JFQ194 JPM194 JZI194 KJE194 KTA194 LCW194 LMS194 LWO194 MGK194 MQG194 NAC194 NJY194 NTU194 ODQ194 ONM194 OXI194 PHE194 PRA194 QAW194 QKS194 QUO194 REK194 ROG194 RYC194 SHY194 SRU194 TBQ194 TLM194 TVI194 UFE194 UPA194 UYW194 VIS194 VSO194 WCK194 WMG194 WWC194 L186:L194 L207:L213 S214:S215 JO214:JO215 TK214:TK215 ADG214:ADG215 ANC214:ANC215 AWY214:AWY215 BGU214:BGU215 BQQ214:BQQ215 CAM214:CAM215 CKI214:CKI215 CUE214:CUE215 DEA214:DEA215 DNW214:DNW215 DXS214:DXS215 EHO214:EHO215 ERK214:ERK215 FBG214:FBG215 FLC214:FLC215 FUY214:FUY215 GEU214:GEU215 GOQ214:GOQ215 GYM214:GYM215 HII214:HII215 HSE214:HSE215 ICA214:ICA215 ILW214:ILW215 IVS214:IVS215 JFO214:JFO215 JPK214:JPK215 JZG214:JZG215 KJC214:KJC215 KSY214:KSY215 LCU214:LCU215 LMQ214:LMQ215 LWM214:LWM215 MGI214:MGI215 MQE214:MQE215 NAA214:NAA215 NJW214:NJW215 NTS214:NTS215 ODO214:ODO215 ONK214:ONK215 OXG214:OXG215 PHC214:PHC215 PQY214:PQY215 QAU214:QAU215 QKQ214:QKQ215 QUM214:QUM215 REI214:REI215 ROE214:ROE215 RYA214:RYA215 SHW214:SHW215 SRS214:SRS215 TBO214:TBO215 TLK214:TLK215 TVG214:TVG215 UFC214:UFC215 UOY214:UOY215 UYU214:UYU215 VIQ214:VIQ215 VSM214:VSM215 WCI214:WCI215 WME214:WME215 WWA214:WWA215 U215 M214:M223 Q214:Q215 L230:L238 WWA239:WWA240 JH239:JI240 TD239:TE240 ACZ239:ADA240 AMV239:AMW240 AWR239:AWS240 BGN239:BGO240 BQJ239:BQK240 CAF239:CAG240 CKB239:CKC240 CTX239:CTY240 DDT239:DDU240 DNP239:DNQ240 DXL239:DXM240 EHH239:EHI240 ERD239:ERE240 FAZ239:FBA240 FKV239:FKW240 FUR239:FUS240 GEN239:GEO240 GOJ239:GOK240 GYF239:GYG240 HIB239:HIC240 HRX239:HRY240 IBT239:IBU240 ILP239:ILQ240 IVL239:IVM240 JFH239:JFI240 JPD239:JPE240 JYZ239:JZA240 KIV239:KIW240 KSR239:KSS240 LCN239:LCO240 LMJ239:LMK240 LWF239:LWG240 MGB239:MGC240 MPX239:MPY240 MZT239:MZU240 NJP239:NJQ240 NTL239:NTM240 ODH239:ODI240 OND239:ONE240 OWZ239:OXA240 PGV239:PGW240 PQR239:PQS240 QAN239:QAO240 QKJ239:QKK240 QUF239:QUG240 REB239:REC240 RNX239:RNY240 RXT239:RXU240 SHP239:SHQ240 SRL239:SRM240 TBH239:TBI240 TLD239:TLE240 TUZ239:TVA240 UEV239:UEW240 UOR239:UOS240 UYN239:UYO240 VIJ239:VIK240 VSF239:VSG240 WCB239:WCC240 WLX239:WLY240 WVT239:WVU240 Q239:Q240 JO239:JO240 TK239:TK240 ADG239:ADG240 ANC239:ANC240 AWY239:AWY240 BGU239:BGU240 BQQ239:BQQ240 CAM239:CAM240 CKI239:CKI240 CUE239:CUE240 DEA239:DEA240 DNW239:DNW240 DXS239:DXS240 EHO239:EHO240 ERK239:ERK240 FBG239:FBG240 FLC239:FLC240 FUY239:FUY240 GEU239:GEU240 GOQ239:GOQ240 GYM239:GYM240 HII239:HII240 HSE239:HSE240 ICA239:ICA240 ILW239:ILW240 IVS239:IVS240 JFO239:JFO240 JPK239:JPK240 JZG239:JZG240 KJC239:KJC240 KSY239:KSY240 LCU239:LCU240 LMQ239:LMQ240 LWM239:LWM240 MGI239:MGI240 MQE239:MQE240 NAA239:NAA240 NJW239:NJW240 NTS239:NTS240 ODO239:ODO240 ONK239:ONK240 OXG239:OXG240 PHC239:PHC240 PQY239:PQY240 QAU239:QAU240 QKQ239:QKQ240 QUM239:QUM240 REI239:REI240 ROE239:ROE240 RYA239:RYA240 SHW239:SHW240 SRS239:SRS240 TBO239:TBO240 TLK239:TLK240 TVG239:TVG240 UFC239:UFC240 UOY239:UOY240 UYU239:UYU240 VIQ239:VIQ240 VSM239:VSM240 WCI239:WCI240 WME239:WME240 S239:S240 U240 L254:L262 U264 JO263:JO264 TK263:TK264 ADG263:ADG264 ANC263:ANC264 AWY263:AWY264 BGU263:BGU264 BQQ263:BQQ264 CAM263:CAM264 CKI263:CKI264 CUE263:CUE264 DEA263:DEA264 DNW263:DNW264 DXS263:DXS264 EHO263:EHO264 ERK263:ERK264 FBG263:FBG264 FLC263:FLC264 FUY263:FUY264 GEU263:GEU264 GOQ263:GOQ264 GYM263:GYM264 HII263:HII264 HSE263:HSE264 ICA263:ICA264 ILW263:ILW264 IVS263:IVS264 JFO263:JFO264 JPK263:JPK264 JZG263:JZG264 KJC263:KJC264 KSY263:KSY264 LCU263:LCU264 LMQ263:LMQ264 LWM263:LWM264 MGI263:MGI264 MQE263:MQE264 NAA263:NAA264 NJW263:NJW264 NTS263:NTS264 ODO263:ODO264 ONK263:ONK264 OXG263:OXG264 PHC263:PHC264 PQY263:PQY264 QAU263:QAU264 QKQ263:QKQ264 QUM263:QUM264 REI263:REI264 ROE263:ROE264 RYA263:RYA264 SHW263:SHW264 SRS263:SRS264 TBO263:TBO264 TLK263:TLK264 TVG263:TVG264 UFC263:UFC264 UOY263:UOY264 UYU263:UYU264 VIQ263:VIQ264 VSM263:VSM264 WCI263:WCI264 WME263:WME264 WWA263:WWA264 Q263:Q264 S263:S264 L277:L283 WWC285 JH284:JI285 TD284:TE285 ACZ284:ADA285 AMV284:AMW285 AWR284:AWS285 BGN284:BGO285 BQJ284:BQK285 CAF284:CAG285 CKB284:CKC285 CTX284:CTY285 DDT284:DDU285 DNP284:DNQ285 DXL284:DXM285 EHH284:EHI285 ERD284:ERE285 FAZ284:FBA285 FKV284:FKW285 FUR284:FUS285 GEN284:GEO285 GOJ284:GOK285 GYF284:GYG285 HIB284:HIC285 HRX284:HRY285 IBT284:IBU285 ILP284:ILQ285 IVL284:IVM285 JFH284:JFI285 JPD284:JPE285 JYZ284:JZA285 KIV284:KIW285 KSR284:KSS285 LCN284:LCO285 LMJ284:LMK285 LWF284:LWG285 MGB284:MGC285 MPX284:MPY285 MZT284:MZU285 NJP284:NJQ285 NTL284:NTM285 ODH284:ODI285 OND284:ONE285 OWZ284:OXA285 PGV284:PGW285 PQR284:PQS285 QAN284:QAO285 QKJ284:QKK285 QUF284:QUG285 REB284:REC285 RNX284:RNY285 RXT284:RXU285 SHP284:SHQ285 SRL284:SRM285 TBH284:TBI285 TLD284:TLE285 TUZ284:TVA285 UEV284:UEW285 UOR284:UOS285 UYN284:UYO285 VIJ284:VIK285 VSF284:VSG285 WCB284:WCC285 WLX284:WLY285 WVT284:WVU285 S284:S285 JO284:JO285 TK284:TK285 ADG284:ADG285 ANC284:ANC285 AWY284:AWY285 BGU284:BGU285 BQQ284:BQQ285 CAM284:CAM285 CKI284:CKI285 CUE284:CUE285 DEA284:DEA285 DNW284:DNW285 DXS284:DXS285 EHO284:EHO285 ERK284:ERK285 FBG284:FBG285 FLC284:FLC285 FUY284:FUY285 GEU284:GEU285 GOQ284:GOQ285 GYM284:GYM285 HII284:HII285 HSE284:HSE285 ICA284:ICA285 ILW284:ILW285 IVS284:IVS285 JFO284:JFO285 JPK284:JPK285 JZG284:JZG285 KJC284:KJC285 KSY284:KSY285 LCU284:LCU285 LMQ284:LMQ285 LWM284:LWM285 MGI284:MGI285 MQE284:MQE285 NAA284:NAA285 NJW284:NJW285 NTS284:NTS285 ODO284:ODO285 ONK284:ONK285 OXG284:OXG285 PHC284:PHC285 PQY284:PQY285 QAU284:QAU285 QKQ284:QKQ285 QUM284:QUM285 REI284:REI285 ROE284:ROE285 RYA284:RYA285 SHW284:SHW285 SRS284:SRS285 TBO284:TBO285 TLK284:TLK285 TVG284:TVG285 UFC284:UFC285 UOY284:UOY285 UYU284:UYU285 VIQ284:VIQ285 VSM284:VSM285 WCI284:WCI285 WME284:WME285 WWA284:WWA285 JQ285 TM285 ADI285 ANE285 AXA285 BGW285 BQS285 CAO285 CKK285 CUG285 DEC285 DNY285 DXU285 EHQ285 ERM285 FBI285 FLE285 FVA285 GEW285 GOS285 GYO285 HIK285 HSG285 ICC285 ILY285 IVU285 JFQ285 JPM285 JZI285 KJE285 KTA285 LCW285 LMS285 LWO285 MGK285 MQG285 NAC285 NJY285 NTU285 ODQ285 ONM285 OXI285 PHE285 PRA285 QAW285 QKS285 QUO285 REK285 ROG285 RYC285 SHY285 SRU285 TBQ285 TLM285 TVI285 UFE285 UPA285 UYW285 VIS285 VSO285 WCK285 U285 Q284:Q285 L297:L303 S304:S305 JH304:JI305 TD304:TE305 ACZ304:ADA305 AMV304:AMW305 AWR304:AWS305 BGN304:BGO305 BQJ304:BQK305 CAF304:CAG305 CKB304:CKC305 CTX304:CTY305 DDT304:DDU305 DNP304:DNQ305 DXL304:DXM305 EHH304:EHI305 ERD304:ERE305 FAZ304:FBA305 FKV304:FKW305 FUR304:FUS305 GEN304:GEO305 GOJ304:GOK305 GYF304:GYG305 HIB304:HIC305 HRX304:HRY305 IBT304:IBU305 ILP304:ILQ305 IVL304:IVM305 JFH304:JFI305 JPD304:JPE305 JYZ304:JZA305 KIV304:KIW305 KSR304:KSS305 LCN304:LCO305 LMJ304:LMK305 LWF304:LWG305 MGB304:MGC305 MPX304:MPY305 MZT304:MZU305 NJP304:NJQ305 NTL304:NTM305 ODH304:ODI305 OND304:ONE305 OWZ304:OXA305 PGV304:PGW305 PQR304:PQS305 QAN304:QAO305 QKJ304:QKK305 QUF304:QUG305 REB304:REC305 RNX304:RNY305 RXT304:RXU305 SHP304:SHQ305 SRL304:SRM305 TBH304:TBI305 TLD304:TLE305 TUZ304:TVA305 UEV304:UEW305 UOR304:UOS305 UYN304:UYO305 VIJ304:VIK305 VSF304:VSG305 WCB304:WCC305 WLX304:WLY305 WVT304:WVU305 U305:U306 JO304:JO305 TK304:TK305 ADG304:ADG305 ANC304:ANC305 AWY304:AWY305 BGU304:BGU305 BQQ304:BQQ305 CAM304:CAM305 CKI304:CKI305 CUE304:CUE305 DEA304:DEA305 DNW304:DNW305 DXS304:DXS305 EHO304:EHO305 ERK304:ERK305 FBG304:FBG305 FLC304:FLC305 FUY304:FUY305 GEU304:GEU305 GOQ304:GOQ305 GYM304:GYM305 HII304:HII305 HSE304:HSE305 ICA304:ICA305 ILW304:ILW305 IVS304:IVS305 JFO304:JFO305 JPK304:JPK305 JZG304:JZG305 KJC304:KJC305 KSY304:KSY305 LCU304:LCU305 LMQ304:LMQ305 LWM304:LWM305 MGI304:MGI305 MQE304:MQE305 NAA304:NAA305 NJW304:NJW305 NTS304:NTS305 ODO304:ODO305 ONK304:ONK305 OXG304:OXG305 PHC304:PHC305 PQY304:PQY305 QAU304:QAU305 QKQ304:QKQ305 QUM304:QUM305 REI304:REI305 ROE304:ROE305 RYA304:RYA305 SHW304:SHW305 SRS304:SRS305 TBO304:TBO305 TLK304:TLK305 TVG304:TVG305 UFC304:UFC305 UOY304:UOY305 UYU304:UYU305 VIQ304:VIQ305 VSM304:VSM305 WCI304:WCI305 WME304:WME305 WWA304:WWA305 JQ305 TM305 ADI305 ANE305 AXA305 BGW305 BQS305 CAO305 CKK305 CUG305 DEC305 DNY305 DXU305 EHQ305 ERM305 FBI305 FLE305 FVA305 GEW305 GOS305 GYO305 HIK305 HSG305 ICC305 ILY305 IVU305 JFQ305 JPM305 JZI305 KJE305 KTA305 LCW305 LMS305 LWO305 MGK305 MQG305 NAC305 NJY305 NTU305 ODQ305 ONM305 OXI305 PHE305 PRA305 QAW305 QKS305 QUO305 REK305 ROG305 RYC305 SHY305 SRU305 TBQ305 TLM305 TVI305 UFE305 UPA305 UYW305 VIS305 VSO305 WCK305 WMG305 WWC305 L324:L326 WMG328 JH327:JI328 TD327:TE328 ACZ327:ADA328 AMV327:AMW328 AWR327:AWS328 BGN327:BGO328 BQJ327:BQK328 CAF327:CAG328 CKB327:CKC328 CTX327:CTY328 DDT327:DDU328 DNP327:DNQ328 DXL327:DXM328 EHH327:EHI328 ERD327:ERE328 FAZ327:FBA328 FKV327:FKW328 FUR327:FUS328 GEN327:GEO328 GOJ327:GOK328 GYF327:GYG328 HIB327:HIC328 HRX327:HRY328 IBT327:IBU328 ILP327:ILQ328 IVL327:IVM328 JFH327:JFI328 JPD327:JPE328 JYZ327:JZA328 KIV327:KIW328 KSR327:KSS328 LCN327:LCO328 LMJ327:LMK328 LWF327:LWG328 MGB327:MGC328 MPX327:MPY328 MZT327:MZU328 NJP327:NJQ328 NTL327:NTM328 ODH327:ODI328 OND327:ONE328 OWZ327:OXA328 PGV327:PGW328 PQR327:PQS328 QAN327:QAO328 QKJ327:QKK328 QUF327:QUG328 REB327:REC328 RNX327:RNY328 RXT327:RXU328 SHP327:SHQ328 SRL327:SRM328 TBH327:TBI328 TLD327:TLE328 TUZ327:TVA328 UEV327:UEW328 UOR327:UOS328 UYN327:UYO328 VIJ327:VIK328 VSF327:VSG328 WCB327:WCC328 WLX327:WLY328 WVT327:WVU328 WWC328 JL327:JM328 TH327:TI328 ADD327:ADE328 AMZ327:ANA328 AWV327:AWW328 BGR327:BGS328 BQN327:BQO328 CAJ327:CAK328 CKF327:CKG328 CUB327:CUC328 DDX327:DDY328 DNT327:DNU328 DXP327:DXQ328 EHL327:EHM328 ERH327:ERI328 FBD327:FBE328 FKZ327:FLA328 FUV327:FUW328 GER327:GES328 GON327:GOO328 GYJ327:GYK328 HIF327:HIG328 HSB327:HSC328 IBX327:IBY328 ILT327:ILU328 IVP327:IVQ328 JFL327:JFM328 JPH327:JPI328 JZD327:JZE328 KIZ327:KJA328 KSV327:KSW328 LCR327:LCS328 LMN327:LMO328 LWJ327:LWK328 MGF327:MGG328 MQB327:MQC328 MZX327:MZY328 NJT327:NJU328 NTP327:NTQ328 ODL327:ODM328 ONH327:ONI328 OXD327:OXE328 PGZ327:PHA328 PQV327:PQW328 QAR327:QAS328 QKN327:QKO328 QUJ327:QUK328 REF327:REG328 ROB327:ROC328 RXX327:RXY328 SHT327:SHU328 SRP327:SRQ328 TBL327:TBM328 TLH327:TLI328 TVD327:TVE328 UEZ327:UFA328 UOV327:UOW328 UYR327:UYS328 VIN327:VIO328 VSJ327:VSK328 WCF327:WCG328 WMB327:WMC328 WVX327:WVY328 S327:S328 JO327:JO328 TK327:TK328 ADG327:ADG328 ANC327:ANC328 AWY327:AWY328 BGU327:BGU328 BQQ327:BQQ328 CAM327:CAM328 CKI327:CKI328 CUE327:CUE328 DEA327:DEA328 DNW327:DNW328 DXS327:DXS328 EHO327:EHO328 ERK327:ERK328 FBG327:FBG328 FLC327:FLC328 FUY327:FUY328 GEU327:GEU328 GOQ327:GOQ328 GYM327:GYM328 HII327:HII328 HSE327:HSE328 ICA327:ICA328 ILW327:ILW328 IVS327:IVS328 JFO327:JFO328 JPK327:JPK328 JZG327:JZG328 KJC327:KJC328 KSY327:KSY328 LCU327:LCU328 LMQ327:LMQ328 LWM327:LWM328 MGI327:MGI328 MQE327:MQE328 NAA327:NAA328 NJW327:NJW328 NTS327:NTS328 ODO327:ODO328 ONK327:ONK328 OXG327:OXG328 PHC327:PHC328 PQY327:PQY328 QAU327:QAU328 QKQ327:QKQ328 QUM327:QUM328 REI327:REI328 ROE327:ROE328 RYA327:RYA328 SHW327:SHW328 SRS327:SRS328 TBO327:TBO328 TLK327:TLK328 TVG327:TVG328 UFC327:UFC328 UOY327:UOY328 UYU327:UYU328 VIQ327:VIQ328 VSM327:VSM328 WCI327:WCI328 WME327:WME328 WWA327:WWA328 U328:U329 JP327:JQ327 TL327:TM327 ADH327:ADI327 AND327:ANE327 AWZ327:AXA327 BGV327:BGW327 BQR327:BQS327 CAN327:CAO327 CKJ327:CKK327 CUF327:CUG327 DEB327:DEC327 DNX327:DNY327 DXT327:DXU327 EHP327:EHQ327 ERL327:ERM327 FBH327:FBI327 FLD327:FLE327 FUZ327:FVA327 GEV327:GEW327 GOR327:GOS327 GYN327:GYO327 HIJ327:HIK327 HSF327:HSG327 ICB327:ICC327 ILX327:ILY327 IVT327:IVU327 JFP327:JFQ327 JPL327:JPM327 JZH327:JZI327 KJD327:KJE327 KSZ327:KTA327 LCV327:LCW327 LMR327:LMS327 LWN327:LWO327 MGJ327:MGK327 MQF327:MQG327 NAB327:NAC327 NJX327:NJY327 NTT327:NTU327 ODP327:ODQ327 ONL327:ONM327 OXH327:OXI327 PHD327:PHE327 PQZ327:PRA327 QAV327:QAW327 QKR327:QKS327 QUN327:QUO327 REJ327:REK327 ROF327:ROG327 RYB327:RYC327 SHX327:SHY327 SRT327:SRU327 TBP327:TBQ327 TLL327:TLM327 TVH327:TVI327 UFD327:UFE327 UOZ327:UPA327 UYV327:UYW327 VIR327:VIS327 VSN327:VSO327 WCJ327:WCK327 WMF327:WMG327 WWB327:WWC327 JQ328 TM328 ADI328 ANE328 AXA328 BGW328 BQS328 CAO328 CKK328 CUG328 DEC328 DNY328 DXU328 EHQ328 ERM328 FBI328 FLE328 FVA328 GEW328 GOS328 GYO328 HIK328 HSG328 ICC328 ILY328 IVU328 JFQ328 JPM328 JZI328 KJE328 KTA328 LCW328 LMS328 LWO328 MGK328 MQG328 NAC328 NJY328 NTU328 ODQ328 ONM328 OXI328 PHE328 PRA328 QAW328 QKS328 QUO328 REK328 ROG328 RYC328 SHY328 SRU328 TBQ328 TLM328 TVI328 UFE328 UPA328 UYW328 VIS328 VSO328 WCK328 L348:L350 VSO352 JH351:JI352 TD351:TE352 ACZ351:ADA352 AMV351:AMW352 AWR351:AWS352 BGN351:BGO352 BQJ351:BQK352 CAF351:CAG352 CKB351:CKC352 CTX351:CTY352 DDT351:DDU352 DNP351:DNQ352 DXL351:DXM352 EHH351:EHI352 ERD351:ERE352 FAZ351:FBA352 FKV351:FKW352 FUR351:FUS352 GEN351:GEO352 GOJ351:GOK352 GYF351:GYG352 HIB351:HIC352 HRX351:HRY352 IBT351:IBU352 ILP351:ILQ352 IVL351:IVM352 JFH351:JFI352 JPD351:JPE352 JYZ351:JZA352 KIV351:KIW352 KSR351:KSS352 LCN351:LCO352 LMJ351:LMK352 LWF351:LWG352 MGB351:MGC352 MPX351:MPY352 MZT351:MZU352 NJP351:NJQ352 NTL351:NTM352 ODH351:ODI352 OND351:ONE352 OWZ351:OXA352 PGV351:PGW352 PQR351:PQS352 QAN351:QAO352 QKJ351:QKK352 QUF351:QUG352 REB351:REC352 RNX351:RNY352 RXT351:RXU352 SHP351:SHQ352 SRL351:SRM352 TBH351:TBI352 TLD351:TLE352 TUZ351:TVA352 UEV351:UEW352 UOR351:UOS352 UYN351:UYO352 VIJ351:VIK352 VSF351:VSG352 WCB351:WCC352 WLX351:WLY352 WVT351:WVU352 WCK352 JL351:JM352 TH351:TI352 ADD351:ADE352 AMZ351:ANA352 AWV351:AWW352 BGR351:BGS352 BQN351:BQO352 CAJ351:CAK352 CKF351:CKG352 CUB351:CUC352 DDX351:DDY352 DNT351:DNU352 DXP351:DXQ352 EHL351:EHM352 ERH351:ERI352 FBD351:FBE352 FKZ351:FLA352 FUV351:FUW352 GER351:GES352 GON351:GOO352 GYJ351:GYK352 HIF351:HIG352 HSB351:HSC352 IBX351:IBY352 ILT351:ILU352 IVP351:IVQ352 JFL351:JFM352 JPH351:JPI352 JZD351:JZE352 KIZ351:KJA352 KSV351:KSW352 LCR351:LCS352 LMN351:LMO352 LWJ351:LWK352 MGF351:MGG352 MQB351:MQC352 MZX351:MZY352 NJT351:NJU352 NTP351:NTQ352 ODL351:ODM352 ONH351:ONI352 OXD351:OXE352 PGZ351:PHA352 PQV351:PQW352 QAR351:QAS352 QKN351:QKO352 QUJ351:QUK352 REF351:REG352 ROB351:ROC352 RXX351:RXY352 SHT351:SHU352 SRP351:SRQ352 TBL351:TBM352 TLH351:TLI352 TVD351:TVE352 UEZ351:UFA352 UOV351:UOW352 UYR351:UYS352 VIN351:VIO352 VSJ351:VSK352 WCF351:WCG352 WMB351:WMC352 WVX351:WVY352 WMG352 JO351:JO352 TK351:TK352 ADG351:ADG352 ANC351:ANC352 AWY351:AWY352 BGU351:BGU352 BQQ351:BQQ352 CAM351:CAM352 CKI351:CKI352 CUE351:CUE352 DEA351:DEA352 DNW351:DNW352 DXS351:DXS352 EHO351:EHO352 ERK351:ERK352 FBG351:FBG352 FLC351:FLC352 FUY351:FUY352 GEU351:GEU352 GOQ351:GOQ352 GYM351:GYM352 HII351:HII352 HSE351:HSE352 ICA351:ICA352 ILW351:ILW352 IVS351:IVS352 JFO351:JFO352 JPK351:JPK352 JZG351:JZG352 KJC351:KJC352 KSY351:KSY352 LCU351:LCU352 LMQ351:LMQ352 LWM351:LWM352 MGI351:MGI352 MQE351:MQE352 NAA351:NAA352 NJW351:NJW352 NTS351:NTS352 ODO351:ODO352 ONK351:ONK352 OXG351:OXG352 PHC351:PHC352 PQY351:PQY352 QAU351:QAU352 QKQ351:QKQ352 QUM351:QUM352 REI351:REI352 ROE351:ROE352 RYA351:RYA352 SHW351:SHW352 SRS351:SRS352 TBO351:TBO352 TLK351:TLK352 TVG351:TVG352 UFC351:UFC352 UOY351:UOY352 UYU351:UYU352 VIQ351:VIQ352 VSM351:VSM352 WCI351:WCI352 WME351:WME352 WWA351:WWA352 WWC352 JP351:JQ351 TL351:TM351 ADH351:ADI351 AND351:ANE351 AWZ351:AXA351 BGV351:BGW351 BQR351:BQS351 CAN351:CAO351 CKJ351:CKK351 CUF351:CUG351 DEB351:DEC351 DNX351:DNY351 DXT351:DXU351 EHP351:EHQ351 ERL351:ERM351 FBH351:FBI351 FLD351:FLE351 FUZ351:FVA351 GEV351:GEW351 GOR351:GOS351 GYN351:GYO351 HIJ351:HIK351 HSF351:HSG351 ICB351:ICC351 ILX351:ILY351 IVT351:IVU351 JFP351:JFQ351 JPL351:JPM351 JZH351:JZI351 KJD351:KJE351 KSZ351:KTA351 LCV351:LCW351 LMR351:LMS351 LWN351:LWO351 MGJ351:MGK351 MQF351:MQG351 NAB351:NAC351 NJX351:NJY351 NTT351:NTU351 ODP351:ODQ351 ONL351:ONM351 OXH351:OXI351 PHD351:PHE351 PQZ351:PRA351 QAV351:QAW351 QKR351:QKS351 QUN351:QUO351 REJ351:REK351 ROF351:ROG351 RYB351:RYC351 SHX351:SHY351 SRT351:SRU351 TBP351:TBQ351 TLL351:TLM351 TVH351:TVI351 UFD351:UFE351 UOZ351:UPA351 UYV351:UYW351 VIR351:VIS351 VSN351:VSO351 WCJ351:WCK351 WMF351:WMG351 WWB351:WWC351 JQ352 TM352 ADI352 ANE352 AXA352 BGW352 BQS352 CAO352 CKK352 CUG352 DEC352 DNY352 DXU352 EHQ352 ERM352 FBI352 FLE352 FVA352 GEW352 GOS352 GYO352 HIK352 HSG352 ICC352 ILY352 IVU352 JFQ352 JPM352 JZI352 KJE352 KTA352 LCW352 LMS352 LWO352 MGK352 MQG352 NAC352 NJY352 NTU352 ODQ352 ONM352 OXI352 PHE352 PRA352 QAW352 QKS352 QUO352 REK352 ROG352 RYC352 SHY352 SRU352 TBQ352 TLM352 TVI352 UFE352 UPA352 UYW352 Q351:Q353 M351:M361 S351:S352 U352:U353 L372:L374 WWC376 JH375:JI376 TD375:TE376 ACZ375:ADA376 AMV375:AMW376 AWR375:AWS376 BGN375:BGO376 BQJ375:BQK376 CAF375:CAG376 CKB375:CKC376 CTX375:CTY376 DDT375:DDU376 DNP375:DNQ376 DXL375:DXM376 EHH375:EHI376 ERD375:ERE376 FAZ375:FBA376 FKV375:FKW376 FUR375:FUS376 GEN375:GEO376 GOJ375:GOK376 GYF375:GYG376 HIB375:HIC376 HRX375:HRY376 IBT375:IBU376 ILP375:ILQ376 IVL375:IVM376 JFH375:JFI376 JPD375:JPE376 JYZ375:JZA376 KIV375:KIW376 KSR375:KSS376 LCN375:LCO376 LMJ375:LMK376 LWF375:LWG376 MGB375:MGC376 MPX375:MPY376 MZT375:MZU376 NJP375:NJQ376 NTL375:NTM376 ODH375:ODI376 OND375:ONE376 OWZ375:OXA376 PGV375:PGW376 PQR375:PQS376 QAN375:QAO376 QKJ375:QKK376 QUF375:QUG376 REB375:REC376 RNX375:RNY376 RXT375:RXU376 SHP375:SHQ376 SRL375:SRM376 TBH375:TBI376 TLD375:TLE376 TUZ375:TVA376 UEV375:UEW376 UOR375:UOS376 UYN375:UYO376 VIJ375:VIK376 VSF375:VSG376 WCB375:WCC376 WLX375:WLY376 WVT375:WVU376 U376 JO375:JO376 TK375:TK376 ADG375:ADG376 ANC375:ANC376 AWY375:AWY376 BGU375:BGU376 BQQ375:BQQ376 CAM375:CAM376 CKI375:CKI376 CUE375:CUE376 DEA375:DEA376 DNW375:DNW376 DXS375:DXS376 EHO375:EHO376 ERK375:ERK376 FBG375:FBG376 FLC375:FLC376 FUY375:FUY376 GEU375:GEU376 GOQ375:GOQ376 GYM375:GYM376 HII375:HII376 HSE375:HSE376 ICA375:ICA376 ILW375:ILW376 IVS375:IVS376 JFO375:JFO376 JPK375:JPK376 JZG375:JZG376 KJC375:KJC376 KSY375:KSY376 LCU375:LCU376 LMQ375:LMQ376 LWM375:LWM376 MGI375:MGI376 MQE375:MQE376 NAA375:NAA376 NJW375:NJW376 NTS375:NTS376 ODO375:ODO376 ONK375:ONK376 OXG375:OXG376 PHC375:PHC376 PQY375:PQY376 QAU375:QAU376 QKQ375:QKQ376 QUM375:QUM376 REI375:REI376 ROE375:ROE376 RYA375:RYA376 SHW375:SHW376 SRS375:SRS376 TBO375:TBO376 TLK375:TLK376 TVG375:TVG376 UFC375:UFC376 UOY375:UOY376 UYU375:UYU376 VIQ375:VIQ376 VSM375:VSM376 WCI375:WCI376 WME375:WME376 WWA375:WWA376 JQ376 TM376 ADI376 ANE376 AXA376 BGW376 BQS376 CAO376 CKK376 CUG376 DEC376 DNY376 DXU376 EHQ376 ERM376 FBI376 FLE376 FVA376 GEW376 GOS376 GYO376 HIK376 HSG376 ICC376 ILY376 IVU376 JFQ376 JPM376 JZI376 KJE376 KTA376 LCW376 LMS376 LWO376 MGK376 MQG376 NAC376 NJY376 NTU376 ODQ376 ONM376 OXI376 PHE376 PRA376 QAW376 QKS376 QUO376 REK376 ROG376 RYC376 SHY376 SRU376 TBQ376 TLM376 TVI376 UFE376 UPA376 UYW376 VIS376 VSO376 WCK376 Q375:Q376 S375:S376 L392:L394 WWC396 JH395:JI396 TD395:TE396 ACZ395:ADA396 AMV395:AMW396 AWR395:AWS396 BGN395:BGO396 BQJ395:BQK396 CAF395:CAG396 CKB395:CKC396 CTX395:CTY396 DDT395:DDU396 DNP395:DNQ396 DXL395:DXM396 EHH395:EHI396 ERD395:ERE396 FAZ395:FBA396 FKV395:FKW396 FUR395:FUS396 GEN395:GEO396 GOJ395:GOK396 GYF395:GYG396 HIB395:HIC396 HRX395:HRY396 IBT395:IBU396 ILP395:ILQ396 IVL395:IVM396 JFH395:JFI396 JPD395:JPE396 JYZ395:JZA396 KIV395:KIW396 KSR395:KSS396 LCN395:LCO396 LMJ395:LMK396 LWF395:LWG396 MGB395:MGC396 MPX395:MPY396 MZT395:MZU396 NJP395:NJQ396 NTL395:NTM396 ODH395:ODI396 OND395:ONE396 OWZ395:OXA396 PGV395:PGW396 PQR395:PQS396 QAN395:QAO396 QKJ395:QKK396 QUF395:QUG396 REB395:REC396 RNX395:RNY396 RXT395:RXU396 SHP395:SHQ396 SRL395:SRM396 TBH395:TBI396 TLD395:TLE396 TUZ395:TVA396 UEV395:UEW396 UOR395:UOS396 UYN395:UYO396 VIJ395:VIK396 VSF395:VSG396 WCB395:WCC396 WLX395:WLY396 WVT395:WVU396 S395:S396 JO395:JO396 TK395:TK396 ADG395:ADG396 ANC395:ANC396 AWY395:AWY396 BGU395:BGU396 BQQ395:BQQ396 CAM395:CAM396 CKI395:CKI396 CUE395:CUE396 DEA395:DEA396 DNW395:DNW396 DXS395:DXS396 EHO395:EHO396 ERK395:ERK396 FBG395:FBG396 FLC395:FLC396 FUY395:FUY396 GEU395:GEU396 GOQ395:GOQ396 GYM395:GYM396 HII395:HII396 HSE395:HSE396 ICA395:ICA396 ILW395:ILW396 IVS395:IVS396 JFO395:JFO396 JPK395:JPK396 JZG395:JZG396 KJC395:KJC396 KSY395:KSY396 LCU395:LCU396 LMQ395:LMQ396 LWM395:LWM396 MGI395:MGI396 MQE395:MQE396 NAA395:NAA396 NJW395:NJW396 NTS395:NTS396 ODO395:ODO396 ONK395:ONK396 OXG395:OXG396 PHC395:PHC396 PQY395:PQY396 QAU395:QAU396 QKQ395:QKQ396 QUM395:QUM396 REI395:REI396 ROE395:ROE396 RYA395:RYA396 SHW395:SHW396 SRS395:SRS396 TBO395:TBO396 TLK395:TLK396 TVG395:TVG396 UFC395:UFC396 UOY395:UOY396 UYU395:UYU396 VIQ395:VIQ396 VSM395:VSM396 WCI395:WCI396 WME395:WME396 WWA395:WWA396 JQ396 TM396 ADI396 ANE396 AXA396 BGW396 BQS396 CAO396 CKK396 CUG396 DEC396 DNY396 DXU396 EHQ396 ERM396 FBI396 FLE396 FVA396 GEW396 GOS396 GYO396 HIK396 HSG396 ICC396 ILY396 IVU396 JFQ396 JPM396 JZI396 KJE396 KTA396 LCW396 LMS396 LWO396 MGK396 MQG396 NAC396 NJY396 NTU396 ODQ396 ONM396 OXI396 PHE396 PRA396 QAW396 QKS396 QUO396 REK396 ROG396 RYC396 SHY396 SRU396 TBQ396 TLM396 TVI396 UFE396 UPA396 UYW396 VIS396 VSO396 WCK396 U396 Q395:Q396 L413:L415 WMG417 M416:M426 WWC417 JH416:JI417 TD416:TE417 ACZ416:ADA417 AMV416:AMW417 AWR416:AWS417 BGN416:BGO417 BQJ416:BQK417 CAF416:CAG417 CKB416:CKC417 CTX416:CTY417 DDT416:DDU417 DNP416:DNQ417 DXL416:DXM417 EHH416:EHI417 ERD416:ERE417 FAZ416:FBA417 FKV416:FKW417 FUR416:FUS417 GEN416:GEO417 GOJ416:GOK417 GYF416:GYG417 HIB416:HIC417 HRX416:HRY417 IBT416:IBU417 ILP416:ILQ417 IVL416:IVM417 JFH416:JFI417 JPD416:JPE417 JYZ416:JZA417 KIV416:KIW417 KSR416:KSS417 LCN416:LCO417 LMJ416:LMK417 LWF416:LWG417 MGB416:MGC417 MPX416:MPY417 MZT416:MZU417 NJP416:NJQ417 NTL416:NTM417 ODH416:ODI417 OND416:ONE417 OWZ416:OXA417 PGV416:PGW417 PQR416:PQS417 QAN416:QAO417 QKJ416:QKK417 QUF416:QUG417 REB416:REC417 RNX416:RNY417 RXT416:RXU417 SHP416:SHQ417 SRL416:SRM417 TBH416:TBI417 TLD416:TLE417 TUZ416:TVA417 UEV416:UEW417 UOR416:UOS417 UYN416:UYO417 VIJ416:VIK417 VSF416:VSG417 WCB416:WCC417 WLX416:WLY417 WVT416:WVU417 S416:S417 JO416:JO417 TK416:TK417 ADG416:ADG417 ANC416:ANC417 AWY416:AWY417 BGU416:BGU417 BQQ416:BQQ417 CAM416:CAM417 CKI416:CKI417 CUE416:CUE417 DEA416:DEA417 DNW416:DNW417 DXS416:DXS417 EHO416:EHO417 ERK416:ERK417 FBG416:FBG417 FLC416:FLC417 FUY416:FUY417 GEU416:GEU417 GOQ416:GOQ417 GYM416:GYM417 HII416:HII417 HSE416:HSE417 ICA416:ICA417 ILW416:ILW417 IVS416:IVS417 JFO416:JFO417 JPK416:JPK417 JZG416:JZG417 KJC416:KJC417 KSY416:KSY417 LCU416:LCU417 LMQ416:LMQ417 LWM416:LWM417 MGI416:MGI417 MQE416:MQE417 NAA416:NAA417 NJW416:NJW417 NTS416:NTS417 ODO416:ODO417 ONK416:ONK417 OXG416:OXG417 PHC416:PHC417 PQY416:PQY417 QAU416:QAU417 QKQ416:QKQ417 QUM416:QUM417 REI416:REI417 ROE416:ROE417 RYA416:RYA417 SHW416:SHW417 SRS416:SRS417 TBO416:TBO417 TLK416:TLK417 TVG416:TVG417 UFC416:UFC417 UOY416:UOY417 UYU416:UYU417 VIQ416:VIQ417 VSM416:VSM417 WCI416:WCI417 WME416:WME417 WWA416:WWA417 JQ417 TM417 ADI417 ANE417 AXA417 BGW417 BQS417 CAO417 CKK417 CUG417 DEC417 DNY417 DXU417 EHQ417 ERM417 FBI417 FLE417 FVA417 GEW417 GOS417 GYO417 HIK417 HSG417 ICC417 ILY417 IVU417 JFQ417 JPM417 JZI417 KJE417 KTA417 LCW417 LMS417 LWO417 MGK417 MQG417 NAC417 NJY417 NTU417 ODQ417 ONM417 OXI417 PHE417 PRA417 QAW417 QKS417 QUO417 REK417 ROG417 RYC417 SHY417 SRU417 TBQ417 TLM417 TVI417 UFE417 UPA417 UYW417 VIS417 VSO417 WCK417 Q416:Q418 U417:U418 L437:L440 O437:O438 WMG442 M441:M452 WWC442 JH441:JI442 TD441:TE442 ACZ441:ADA442 AMV441:AMW442 AWR441:AWS442 BGN441:BGO442 BQJ441:BQK442 CAF441:CAG442 CKB441:CKC442 CTX441:CTY442 DDT441:DDU442 DNP441:DNQ442 DXL441:DXM442 EHH441:EHI442 ERD441:ERE442 FAZ441:FBA442 FKV441:FKW442 FUR441:FUS442 GEN441:GEO442 GOJ441:GOK442 GYF441:GYG442 HIB441:HIC442 HRX441:HRY442 IBT441:IBU442 ILP441:ILQ442 IVL441:IVM442 JFH441:JFI442 JPD441:JPE442 JYZ441:JZA442 KIV441:KIW442 KSR441:KSS442 LCN441:LCO442 LMJ441:LMK442 LWF441:LWG442 MGB441:MGC442 MPX441:MPY442 MZT441:MZU442 NJP441:NJQ442 NTL441:NTM442 ODH441:ODI442 OND441:ONE442 OWZ441:OXA442 PGV441:PGW442 PQR441:PQS442 QAN441:QAO442 QKJ441:QKK442 QUF441:QUG442 REB441:REC442 RNX441:RNY442 RXT441:RXU442 SHP441:SHQ442 SRL441:SRM442 TBH441:TBI442 TLD441:TLE442 TUZ441:TVA442 UEV441:UEW442 UOR441:UOS442 UYN441:UYO442 VIJ441:VIK442 VSF441:VSG442 WCB441:WCC442 WLX441:WLY442 WVT441:WVU442 S441:S442 JO441:JO442 TK441:TK442 ADG441:ADG442 ANC441:ANC442 AWY441:AWY442 BGU441:BGU442 BQQ441:BQQ442 CAM441:CAM442 CKI441:CKI442 CUE441:CUE442 DEA441:DEA442 DNW441:DNW442 DXS441:DXS442 EHO441:EHO442 ERK441:ERK442 FBG441:FBG442 FLC441:FLC442 FUY441:FUY442 GEU441:GEU442 GOQ441:GOQ442 GYM441:GYM442 HII441:HII442 HSE441:HSE442 ICA441:ICA442 ILW441:ILW442 IVS441:IVS442 JFO441:JFO442 JPK441:JPK442 JZG441:JZG442 KJC441:KJC442 KSY441:KSY442 LCU441:LCU442 LMQ441:LMQ442 LWM441:LWM442 MGI441:MGI442 MQE441:MQE442 NAA441:NAA442 NJW441:NJW442 NTS441:NTS442 ODO441:ODO442 ONK441:ONK442 OXG441:OXG442 PHC441:PHC442 PQY441:PQY442 QAU441:QAU442 QKQ441:QKQ442 QUM441:QUM442 REI441:REI442 ROE441:ROE442 RYA441:RYA442 SHW441:SHW442 SRS441:SRS442 TBO441:TBO442 TLK441:TLK442 TVG441:TVG442 UFC441:UFC442 UOY441:UOY442 UYU441:UYU442 VIQ441:VIQ442 VSM441:VSM442 WCI441:WCI442 WME441:WME442 WWA441:WWA442 JQ442 TM442 ADI442 ANE442 AXA442 BGW442 BQS442 CAO442 CKK442 CUG442 DEC442 DNY442 DXU442 EHQ442 ERM442 FBI442 FLE442 FVA442 GEW442 GOS442 GYO442 HIK442 HSG442 ICC442 ILY442 IVU442 JFQ442 JPM442 JZI442 KJE442 KTA442 LCW442 LMS442 LWO442 MGK442 MQG442 NAC442 NJY442 NTU442 ODQ442 ONM442 OXI442 PHE442 PRA442 QAW442 QKS442 QUO442 REK442 ROG442 RYC442 SHY442 SRU442 TBQ442 TLM442 TVI442 UFE442 UPA442 UYW442 VIS442 VSO442 WCK442 Q441:Q443 U442:U443 L463:L466 O463:O464 WMG468 M467:M477 WWC468 JH467:JI468 TD467:TE468 ACZ467:ADA468 AMV467:AMW468 AWR467:AWS468 BGN467:BGO468 BQJ467:BQK468 CAF467:CAG468 CKB467:CKC468 CTX467:CTY468 DDT467:DDU468 DNP467:DNQ468 DXL467:DXM468 EHH467:EHI468 ERD467:ERE468 FAZ467:FBA468 FKV467:FKW468 FUR467:FUS468 GEN467:GEO468 GOJ467:GOK468 GYF467:GYG468 HIB467:HIC468 HRX467:HRY468 IBT467:IBU468 ILP467:ILQ468 IVL467:IVM468 JFH467:JFI468 JPD467:JPE468 JYZ467:JZA468 KIV467:KIW468 KSR467:KSS468 LCN467:LCO468 LMJ467:LMK468 LWF467:LWG468 MGB467:MGC468 MPX467:MPY468 MZT467:MZU468 NJP467:NJQ468 NTL467:NTM468 ODH467:ODI468 OND467:ONE468 OWZ467:OXA468 PGV467:PGW468 PQR467:PQS468 QAN467:QAO468 QKJ467:QKK468 QUF467:QUG468 REB467:REC468 RNX467:RNY468 RXT467:RXU468 SHP467:SHQ468 SRL467:SRM468 TBH467:TBI468 TLD467:TLE468 TUZ467:TVA468 UEV467:UEW468 UOR467:UOS468 UYN467:UYO468 VIJ467:VIK468 VSF467:VSG468 WCB467:WCC468 WLX467:WLY468 WVT467:WVU468 S467:S468 JO467:JO468 TK467:TK468 ADG467:ADG468 ANC467:ANC468 AWY467:AWY468 BGU467:BGU468 BQQ467:BQQ468 CAM467:CAM468 CKI467:CKI468 CUE467:CUE468 DEA467:DEA468 DNW467:DNW468 DXS467:DXS468 EHO467:EHO468 ERK467:ERK468 FBG467:FBG468 FLC467:FLC468 FUY467:FUY468 GEU467:GEU468 GOQ467:GOQ468 GYM467:GYM468 HII467:HII468 HSE467:HSE468 ICA467:ICA468 ILW467:ILW468 IVS467:IVS468 JFO467:JFO468 JPK467:JPK468 JZG467:JZG468 KJC467:KJC468 KSY467:KSY468 LCU467:LCU468 LMQ467:LMQ468 LWM467:LWM468 MGI467:MGI468 MQE467:MQE468 NAA467:NAA468 NJW467:NJW468 NTS467:NTS468 ODO467:ODO468 ONK467:ONK468 OXG467:OXG468 PHC467:PHC468 PQY467:PQY468 QAU467:QAU468 QKQ467:QKQ468 QUM467:QUM468 REI467:REI468 ROE467:ROE468 RYA467:RYA468 SHW467:SHW468 SRS467:SRS468 TBO467:TBO468 TLK467:TLK468 TVG467:TVG468 UFC467:UFC468 UOY467:UOY468 UYU467:UYU468 VIQ467:VIQ468 VSM467:VSM468 WCI467:WCI468 WME467:WME468 WWA467:WWA468 JQ468 TM468 ADI468 ANE468 AXA468 BGW468 BQS468 CAO468 CKK468 CUG468 DEC468 DNY468 DXU468 EHQ468 ERM468 FBI468 FLE468 FVA468 GEW468 GOS468 GYO468 HIK468 HSG468 ICC468 ILY468 IVU468 JFQ468 JPM468 JZI468 KJE468 KTA468 LCW468 LMS468 LWO468 MGK468 MQG468 NAC468 NJY468 NTU468 ODQ468 ONM468 OXI468 PHE468 PRA468 QAW468 QKS468 QUO468 REK468 ROG468 RYC468 SHY468 SRU468 TBQ468 TLM468 TVI468 UFE468 UPA468 UYW468 VIS468 VSO468 WCK468 Q467:Q469 U468:U469 L480:L487 R485 WMG489 M488:M499 WWC489 JH488:JI489 TD488:TE489 ACZ488:ADA489 AMV488:AMW489 AWR488:AWS489 BGN488:BGO489 BQJ488:BQK489 CAF488:CAG489 CKB488:CKC489 CTX488:CTY489 DDT488:DDU489 DNP488:DNQ489 DXL488:DXM489 EHH488:EHI489 ERD488:ERE489 FAZ488:FBA489 FKV488:FKW489 FUR488:FUS489 GEN488:GEO489 GOJ488:GOK489 GYF488:GYG489 HIB488:HIC489 HRX488:HRY489 IBT488:IBU489 ILP488:ILQ489 IVL488:IVM489 JFH488:JFI489 JPD488:JPE489 JYZ488:JZA489 KIV488:KIW489 KSR488:KSS489 LCN488:LCO489 LMJ488:LMK489 LWF488:LWG489 MGB488:MGC489 MPX488:MPY489 MZT488:MZU489 NJP488:NJQ489 NTL488:NTM489 ODH488:ODI489 OND488:ONE489 OWZ488:OXA489 PGV488:PGW489 PQR488:PQS489 QAN488:QAO489 QKJ488:QKK489 QUF488:QUG489 REB488:REC489 RNX488:RNY489 RXT488:RXU489 SHP488:SHQ489 SRL488:SRM489 TBH488:TBI489 TLD488:TLE489 TUZ488:TVA489 UEV488:UEW489 UOR488:UOS489 UYN488:UYO489 VIJ488:VIK489 VSF488:VSG489 WCB488:WCC489 WLX488:WLY489 WVT488:WVU489 S488:S489 JO488:JO489 TK488:TK489 ADG488:ADG489 ANC488:ANC489 AWY488:AWY489 BGU488:BGU489 BQQ488:BQQ489 CAM488:CAM489 CKI488:CKI489 CUE488:CUE489 DEA488:DEA489 DNW488:DNW489 DXS488:DXS489 EHO488:EHO489 ERK488:ERK489 FBG488:FBG489 FLC488:FLC489 FUY488:FUY489 GEU488:GEU489 GOQ488:GOQ489 GYM488:GYM489 HII488:HII489 HSE488:HSE489 ICA488:ICA489 ILW488:ILW489 IVS488:IVS489 JFO488:JFO489 JPK488:JPK489 JZG488:JZG489 KJC488:KJC489 KSY488:KSY489 LCU488:LCU489 LMQ488:LMQ489 LWM488:LWM489 MGI488:MGI489 MQE488:MQE489 NAA488:NAA489 NJW488:NJW489 NTS488:NTS489 ODO488:ODO489 ONK488:ONK489 OXG488:OXG489 PHC488:PHC489 PQY488:PQY489 QAU488:QAU489 QKQ488:QKQ489 QUM488:QUM489 REI488:REI489 ROE488:ROE489 RYA488:RYA489 SHW488:SHW489 SRS488:SRS489 TBO488:TBO489 TLK488:TLK489 TVG488:TVG489 UFC488:UFC489 UOY488:UOY489 UYU488:UYU489 VIQ488:VIQ489 VSM488:VSM489 WCI488:WCI489 WME488:WME489 WWA488:WWA489 JQ489 TM489 ADI489 ANE489 AXA489 BGW489 BQS489 CAO489 CKK489 CUG489 DEC489 DNY489 DXU489 EHQ489 ERM489 FBI489 FLE489 FVA489 GEW489 GOS489 GYO489 HIK489 HSG489 ICC489 ILY489 IVU489 JFQ489 JPM489 JZI489 KJE489 KTA489 LCW489 LMS489 LWO489 MGK489 MQG489 NAC489 NJY489 NTU489 ODQ489 ONM489 OXI489 PHE489 PRA489 QAW489 QKS489 QUO489 REK489 ROG489 RYC489 SHY489 SRU489 TBQ489 TLM489 TVI489 UFE489 UPA489 UYW489 VIS489 VSO489 WCK489 Q488:Q490 U489:U490 L502:L509 WMG511 M510:M521 WWC511 JH510:JI511 TD510:TE511 ACZ510:ADA511 AMV510:AMW511 AWR510:AWS511 BGN510:BGO511 BQJ510:BQK511 CAF510:CAG511 CKB510:CKC511 CTX510:CTY511 DDT510:DDU511 DNP510:DNQ511 DXL510:DXM511 EHH510:EHI511 ERD510:ERE511 FAZ510:FBA511 FKV510:FKW511 FUR510:FUS511 GEN510:GEO511 GOJ510:GOK511 GYF510:GYG511 HIB510:HIC511 HRX510:HRY511 IBT510:IBU511 ILP510:ILQ511 IVL510:IVM511 JFH510:JFI511 JPD510:JPE511 JYZ510:JZA511 KIV510:KIW511 KSR510:KSS511 LCN510:LCO511 LMJ510:LMK511 LWF510:LWG511 MGB510:MGC511 MPX510:MPY511 MZT510:MZU511 NJP510:NJQ511 NTL510:NTM511 ODH510:ODI511 OND510:ONE511 OWZ510:OXA511 PGV510:PGW511 PQR510:PQS511 QAN510:QAO511 QKJ510:QKK511 QUF510:QUG511 REB510:REC511 RNX510:RNY511 RXT510:RXU511 SHP510:SHQ511 SRL510:SRM511 TBH510:TBI511 TLD510:TLE511 TUZ510:TVA511 UEV510:UEW511 UOR510:UOS511 UYN510:UYO511 VIJ510:VIK511 VSF510:VSG511 WCB510:WCC511 WLX510:WLY511 WVT510:WVU511 S510:S511 JO510:JO511 TK510:TK511 ADG510:ADG511 ANC510:ANC511 AWY510:AWY511 BGU510:BGU511 BQQ510:BQQ511 CAM510:CAM511 CKI510:CKI511 CUE510:CUE511 DEA510:DEA511 DNW510:DNW511 DXS510:DXS511 EHO510:EHO511 ERK510:ERK511 FBG510:FBG511 FLC510:FLC511 FUY510:FUY511 GEU510:GEU511 GOQ510:GOQ511 GYM510:GYM511 HII510:HII511 HSE510:HSE511 ICA510:ICA511 ILW510:ILW511 IVS510:IVS511 JFO510:JFO511 JPK510:JPK511 JZG510:JZG511 KJC510:KJC511 KSY510:KSY511 LCU510:LCU511 LMQ510:LMQ511 LWM510:LWM511 MGI510:MGI511 MQE510:MQE511 NAA510:NAA511 NJW510:NJW511 NTS510:NTS511 ODO510:ODO511 ONK510:ONK511 OXG510:OXG511 PHC510:PHC511 PQY510:PQY511 QAU510:QAU511 QKQ510:QKQ511 QUM510:QUM511 REI510:REI511 ROE510:ROE511 RYA510:RYA511 SHW510:SHW511 SRS510:SRS511 TBO510:TBO511 TLK510:TLK511 TVG510:TVG511 UFC510:UFC511 UOY510:UOY511 UYU510:UYU511 VIQ510:VIQ511 VSM510:VSM511 WCI510:WCI511 WME510:WME511 WWA510:WWA511 JQ511 TM511 ADI511 ANE511 AXA511 BGW511 BQS511 CAO511 CKK511 CUG511 DEC511 DNY511 DXU511 EHQ511 ERM511 FBI511 FLE511 FVA511 GEW511 GOS511 GYO511 HIK511 HSG511 ICC511 ILY511 IVU511 JFQ511 JPM511 JZI511 KJE511 KTA511 LCW511 LMS511 LWO511 MGK511 MQG511 NAC511 NJY511 NTU511 ODQ511 ONM511 OXI511 PHE511 PRA511 QAW511 QKS511 QUO511 REK511 ROG511 RYC511 SHY511 SRU511 TBQ511 TLM511 TVI511 UFE511 UPA511 UYW511 VIS511 VSO511 WCK511 Q510:Q512 U511:U512 L532:L535 R533 WMG537 M536:M547 WWC537 JH536:JI537 TD536:TE537 ACZ536:ADA537 AMV536:AMW537 AWR536:AWS537 BGN536:BGO537 BQJ536:BQK537 CAF536:CAG537 CKB536:CKC537 CTX536:CTY537 DDT536:DDU537 DNP536:DNQ537 DXL536:DXM537 EHH536:EHI537 ERD536:ERE537 FAZ536:FBA537 FKV536:FKW537 FUR536:FUS537 GEN536:GEO537 GOJ536:GOK537 GYF536:GYG537 HIB536:HIC537 HRX536:HRY537 IBT536:IBU537 ILP536:ILQ537 IVL536:IVM537 JFH536:JFI537 JPD536:JPE537 JYZ536:JZA537 KIV536:KIW537 KSR536:KSS537 LCN536:LCO537 LMJ536:LMK537 LWF536:LWG537 MGB536:MGC537 MPX536:MPY537 MZT536:MZU537 NJP536:NJQ537 NTL536:NTM537 ODH536:ODI537 OND536:ONE537 OWZ536:OXA537 PGV536:PGW537 PQR536:PQS537 QAN536:QAO537 QKJ536:QKK537 QUF536:QUG537 REB536:REC537 RNX536:RNY537 RXT536:RXU537 SHP536:SHQ537 SRL536:SRM537 TBH536:TBI537 TLD536:TLE537 TUZ536:TVA537 UEV536:UEW537 UOR536:UOS537 UYN536:UYO537 VIJ536:VIK537 VSF536:VSG537 WCB536:WCC537 WLX536:WLY537 WVT536:WVU537 S536:S537 JO536:JO537 TK536:TK537 ADG536:ADG537 ANC536:ANC537 AWY536:AWY537 BGU536:BGU537 BQQ536:BQQ537 CAM536:CAM537 CKI536:CKI537 CUE536:CUE537 DEA536:DEA537 DNW536:DNW537 DXS536:DXS537 EHO536:EHO537 ERK536:ERK537 FBG536:FBG537 FLC536:FLC537 FUY536:FUY537 GEU536:GEU537 GOQ536:GOQ537 GYM536:GYM537 HII536:HII537 HSE536:HSE537 ICA536:ICA537 ILW536:ILW537 IVS536:IVS537 JFO536:JFO537 JPK536:JPK537 JZG536:JZG537 KJC536:KJC537 KSY536:KSY537 LCU536:LCU537 LMQ536:LMQ537 LWM536:LWM537 MGI536:MGI537 MQE536:MQE537 NAA536:NAA537 NJW536:NJW537 NTS536:NTS537 ODO536:ODO537 ONK536:ONK537 OXG536:OXG537 PHC536:PHC537 PQY536:PQY537 QAU536:QAU537 QKQ536:QKQ537 QUM536:QUM537 REI536:REI537 ROE536:ROE537 RYA536:RYA537 SHW536:SHW537 SRS536:SRS537 TBO536:TBO537 TLK536:TLK537 TVG536:TVG537 UFC536:UFC537 UOY536:UOY537 UYU536:UYU537 VIQ536:VIQ537 VSM536:VSM537 WCI536:WCI537 WME536:WME537 WWA536:WWA537 JQ537 TM537 ADI537 ANE537 AXA537 BGW537 BQS537 CAO537 CKK537 CUG537 DEC537 DNY537 DXU537 EHQ537 ERM537 FBI537 FLE537 FVA537 GEW537 GOS537 GYO537 HIK537 HSG537 ICC537 ILY537 IVU537 JFQ537 JPM537 JZI537 KJE537 KTA537 LCW537 LMS537 LWO537 MGK537 MQG537 NAC537 NJY537 NTU537 ODQ537 ONM537 OXI537 PHE537 PRA537 QAW537 QKS537 QUO537 REK537 ROG537 RYC537 SHY537 SRU537 TBQ537 TLM537 TVI537 UFE537 UPA537 UYW537 VIS537 VSO537 WCK537 Q536:Q538 U537:U538 L558:L561 R559 WMG563 M562:M573 WWC563 JH562:JI563 TD562:TE563 ACZ562:ADA563 AMV562:AMW563 AWR562:AWS563 BGN562:BGO563 BQJ562:BQK563 CAF562:CAG563 CKB562:CKC563 CTX562:CTY563 DDT562:DDU563 DNP562:DNQ563 DXL562:DXM563 EHH562:EHI563 ERD562:ERE563 FAZ562:FBA563 FKV562:FKW563 FUR562:FUS563 GEN562:GEO563 GOJ562:GOK563 GYF562:GYG563 HIB562:HIC563 HRX562:HRY563 IBT562:IBU563 ILP562:ILQ563 IVL562:IVM563 JFH562:JFI563 JPD562:JPE563 JYZ562:JZA563 KIV562:KIW563 KSR562:KSS563 LCN562:LCO563 LMJ562:LMK563 LWF562:LWG563 MGB562:MGC563 MPX562:MPY563 MZT562:MZU563 NJP562:NJQ563 NTL562:NTM563 ODH562:ODI563 OND562:ONE563 OWZ562:OXA563 PGV562:PGW563 PQR562:PQS563 QAN562:QAO563 QKJ562:QKK563 QUF562:QUG563 REB562:REC563 RNX562:RNY563 RXT562:RXU563 SHP562:SHQ563 SRL562:SRM563 TBH562:TBI563 TLD562:TLE563 TUZ562:TVA563 UEV562:UEW563 UOR562:UOS563 UYN562:UYO563 VIJ562:VIK563 VSF562:VSG563 WCB562:WCC563 WLX562:WLY563 WVT562:WVU563 S562:S563 JO562:JO563 TK562:TK563 ADG562:ADG563 ANC562:ANC563 AWY562:AWY563 BGU562:BGU563 BQQ562:BQQ563 CAM562:CAM563 CKI562:CKI563 CUE562:CUE563 DEA562:DEA563 DNW562:DNW563 DXS562:DXS563 EHO562:EHO563 ERK562:ERK563 FBG562:FBG563 FLC562:FLC563 FUY562:FUY563 GEU562:GEU563 GOQ562:GOQ563 GYM562:GYM563 HII562:HII563 HSE562:HSE563 ICA562:ICA563 ILW562:ILW563 IVS562:IVS563 JFO562:JFO563 JPK562:JPK563 JZG562:JZG563 KJC562:KJC563 KSY562:KSY563 LCU562:LCU563 LMQ562:LMQ563 LWM562:LWM563 MGI562:MGI563 MQE562:MQE563 NAA562:NAA563 NJW562:NJW563 NTS562:NTS563 ODO562:ODO563 ONK562:ONK563 OXG562:OXG563 PHC562:PHC563 PQY562:PQY563 QAU562:QAU563 QKQ562:QKQ563 QUM562:QUM563 REI562:REI563 ROE562:ROE563 RYA562:RYA563 SHW562:SHW563 SRS562:SRS563 TBO562:TBO563 TLK562:TLK563 TVG562:TVG563 UFC562:UFC563 UOY562:UOY563 UYU562:UYU563 VIQ562:VIQ563 VSM562:VSM563 WCI562:WCI563 WME562:WME563 WWA562:WWA563 JQ563 TM563 ADI563 ANE563 AXA563 BGW563 BQS563 CAO563 CKK563 CUG563 DEC563 DNY563 DXU563 EHQ563 ERM563 FBI563 FLE563 FVA563 GEW563 GOS563 GYO563 HIK563 HSG563 ICC563 ILY563 IVU563 JFQ563 JPM563 JZI563 KJE563 KTA563 LCW563 LMS563 LWO563 MGK563 MQG563 NAC563 NJY563 NTU563 ODQ563 ONM563 OXI563 PHE563 PRA563 QAW563 QKS563 QUO563 REK563 ROG563 RYC563 SHY563 SRU563 TBQ563 TLM563 TVI563 UFE563 UPA563 UYW563 VIS563 VSO563 WCK563 Q562:Q564 U563:U564 L576:L583 R581 WMG585 M584:M589 WWC585 JH584:JI585 TD584:TE585 ACZ584:ADA585 AMV584:AMW585 AWR584:AWS585 BGN584:BGO585 BQJ584:BQK585 CAF584:CAG585 CKB584:CKC585 CTX584:CTY585 DDT584:DDU585 DNP584:DNQ585 DXL584:DXM585 EHH584:EHI585 ERD584:ERE585 FAZ584:FBA585 FKV584:FKW585 FUR584:FUS585 GEN584:GEO585 GOJ584:GOK585 GYF584:GYG585 HIB584:HIC585 HRX584:HRY585 IBT584:IBU585 ILP584:ILQ585 IVL584:IVM585 JFH584:JFI585 JPD584:JPE585 JYZ584:JZA585 KIV584:KIW585 KSR584:KSS585 LCN584:LCO585 LMJ584:LMK585 LWF584:LWG585 MGB584:MGC585 MPX584:MPY585 MZT584:MZU585 NJP584:NJQ585 NTL584:NTM585 ODH584:ODI585 OND584:ONE585 OWZ584:OXA585 PGV584:PGW585 PQR584:PQS585 QAN584:QAO585 QKJ584:QKK585 QUF584:QUG585 REB584:REC585 RNX584:RNY585 RXT584:RXU585 SHP584:SHQ585 SRL584:SRM585 TBH584:TBI585 TLD584:TLE585 TUZ584:TVA585 UEV584:UEW585 UOR584:UOS585 UYN584:UYO585 VIJ584:VIK585 VSF584:VSG585 WCB584:WCC585 WLX584:WLY585 WVT584:WVU585 S584:S585 JO584:JO585 TK584:TK585 ADG584:ADG585 ANC584:ANC585 AWY584:AWY585 BGU584:BGU585 BQQ584:BQQ585 CAM584:CAM585 CKI584:CKI585 CUE584:CUE585 DEA584:DEA585 DNW584:DNW585 DXS584:DXS585 EHO584:EHO585 ERK584:ERK585 FBG584:FBG585 FLC584:FLC585 FUY584:FUY585 GEU584:GEU585 GOQ584:GOQ585 GYM584:GYM585 HII584:HII585 HSE584:HSE585 ICA584:ICA585 ILW584:ILW585 IVS584:IVS585 JFO584:JFO585 JPK584:JPK585 JZG584:JZG585 KJC584:KJC585 KSY584:KSY585 LCU584:LCU585 LMQ584:LMQ585 LWM584:LWM585 MGI584:MGI585 MQE584:MQE585 NAA584:NAA585 NJW584:NJW585 NTS584:NTS585 ODO584:ODO585 ONK584:ONK585 OXG584:OXG585 PHC584:PHC585 PQY584:PQY585 QAU584:QAU585 QKQ584:QKQ585 QUM584:QUM585 REI584:REI585 ROE584:ROE585 RYA584:RYA585 SHW584:SHW585 SRS584:SRS585 TBO584:TBO585 TLK584:TLK585 TVG584:TVG585 UFC584:UFC585 UOY584:UOY585 UYU584:UYU585 VIQ584:VIQ585 VSM584:VSM585 WCI584:WCI585 WME584:WME585 WWA584:WWA585 JQ585 TM585 ADI585 ANE585 AXA585 BGW585 BQS585 CAO585 CKK585 CUG585 DEC585 DNY585 DXU585 EHQ585 ERM585 FBI585 FLE585 FVA585 GEW585 GOS585 GYO585 HIK585 HSG585 ICC585 ILY585 IVU585 JFQ585 JPM585 JZI585 KJE585 KTA585 LCW585 LMS585 LWO585 MGK585 MQG585 NAC585 NJY585 NTU585 ODQ585 ONM585 OXI585 PHE585 PRA585 QAW585 QKS585 QUO585 REK585 ROG585 RYC585 SHY585 SRU585 TBQ585 TLM585 TVI585 UFE585 UPA585 UYW585 VIS585 VSO585 WCK585 Q584:Q586 U585 O602:O603 R603 L590:L603 U605 JO604:JO605 TK604:TK605 ADG604:ADG605 ANC604:ANC605 AWY604:AWY605 BGU604:BGU605 BQQ604:BQQ605 CAM604:CAM605 CKI604:CKI605 CUE604:CUE605 DEA604:DEA605 DNW604:DNW605 DXS604:DXS605 EHO604:EHO605 ERK604:ERK605 FBG604:FBG605 FLC604:FLC605 FUY604:FUY605 GEU604:GEU605 GOQ604:GOQ605 GYM604:GYM605 HII604:HII605 HSE604:HSE605 ICA604:ICA605 ILW604:ILW605 IVS604:IVS605 JFO604:JFO605 JPK604:JPK605 JZG604:JZG605 KJC604:KJC605 KSY604:KSY605 LCU604:LCU605 LMQ604:LMQ605 LWM604:LWM605 MGI604:MGI605 MQE604:MQE605 NAA604:NAA605 NJW604:NJW605 NTS604:NTS605 ODO604:ODO605 ONK604:ONK605 OXG604:OXG605 PHC604:PHC605 PQY604:PQY605 QAU604:QAU605 QKQ604:QKQ605 QUM604:QUM605 REI604:REI605 ROE604:ROE605 RYA604:RYA605 SHW604:SHW605 SRS604:SRS605 TBO604:TBO605 TLK604:TLK605 TVG604:TVG605 UFC604:UFC605 UOY604:UOY605 UYU604:UYU605 VIQ604:VIQ605 VSM604:VSM605 WCI604:WCI605 WME604:WME605 WWA604:WWA605 S604:S605 L610:L615 R615 O614:O615 Q616:Q617 M616:M618 JO616:JO617 TK616:TK617 ADG616:ADG617 ANC616:ANC617 AWY616:AWY617 BGU616:BGU617 BQQ616:BQQ617 CAM616:CAM617 CKI616:CKI617 CUE616:CUE617 DEA616:DEA617 DNW616:DNW617 DXS616:DXS617 EHO616:EHO617 ERK616:ERK617 FBG616:FBG617 FLC616:FLC617 FUY616:FUY617 GEU616:GEU617 GOQ616:GOQ617 GYM616:GYM617 HII616:HII617 HSE616:HSE617 ICA616:ICA617 ILW616:ILW617 IVS616:IVS617 JFO616:JFO617 JPK616:JPK617 JZG616:JZG617 KJC616:KJC617 KSY616:KSY617 LCU616:LCU617 LMQ616:LMQ617 LWM616:LWM617 MGI616:MGI617 MQE616:MQE617 NAA616:NAA617 NJW616:NJW617 NTS616:NTS617 ODO616:ODO617 ONK616:ONK617 OXG616:OXG617 PHC616:PHC617 PQY616:PQY617 QAU616:QAU617 QKQ616:QKQ617 QUM616:QUM617 REI616:REI617 ROE616:ROE617 RYA616:RYA617 SHW616:SHW617 SRS616:SRS617 TBO616:TBO617 TLK616:TLK617 TVG616:TVG617 UFC616:UFC617 UOY616:UOY617 UYU616:UYU617 VIQ616:VIQ617 VSM616:VSM617 WCI616:WCI617 WME616:WME617 WWA616:WWA617 S616:S617 L631:L635 WVT635 JH635 TD635 ACZ635 AMV635 AWR635 BGN635 BQJ635 CAF635 CKB635 CTX635 DDT635 DNP635 DXL635 EHH635 ERD635 FAZ635 FKV635 FUR635 GEN635 GOJ635 GYF635 HIB635 HRX635 IBT635 ILP635 IVL635 JFH635 JPD635 JYZ635 KIV635 KSR635 LCN635 LMJ635 LWF635 MGB635 MPX635 MZT635 NJP635 NTL635 ODH635 OND635 OWZ635 PGV635 PQR635 QAN635 QKJ635 QUF635 REB635 RNX635 RXT635 SHP635 SRL635 TBH635 TLD635 TUZ635 UEV635 UOR635 UYN635 VIJ635 VSF635 WCB635 WLX635 O672:O673 R673 L663:L673 S674:S675 U675 Q674:Q675 O705:O706 L687:L706 R706 M707:M711 S707:S708 Q707:Q708 L718:L738 R738 O737:O738 M739:M743 S739:S740 Q739:Q740 L766:L774 O773:O774 R774 M775:M779 S775:S776 Q775:Q776 O808:O809 R809 L801:L809 M810:M820 S810:S811 Q810:Q811 L824:L835 R835 O834:O835 M836:M846 S836:S837 Q836:Q837 R860 O859:O860 L847:L860 M861:M870 S861:S862 Q861:Q863 U862:U863 R895 O894:O895 L882:L895 M896:M905 S896:S897 Q896:Q898 U897:U898 R931 O930:O931 L918:L931 M932:M941 S932:S933 Q932:Q934 U933:U934 L946:L955 R955 O954:O955 M956:M965 S956:S957 Q956:Q958 U957:U958 R980 O979:O980 L971:L980 M981:M991 S981:S982 Q981:Q983 U982:U983 R1016 O1015:O1016 L1003:L1016 M1017:M1027 S1017:S1018 Q1017:Q1019 U1018:U1019 L1039:L1052 O1051:O1052 M1053:M1063 S1053:S1054 Q1053:Q1055 U1054:U1055 I8:I1079 R1077 O1076:O1077 L1068:L1077 M1078:M1079 S1078:S1079 Q1078:Q1079">
      <formula1>"□,■"</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24"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6" t="s">
        <v>639</v>
      </c>
      <c r="C1"/>
      <c r="D1"/>
      <c r="E1"/>
      <c r="F1"/>
      <c r="G1"/>
      <c r="H1"/>
      <c r="I1"/>
      <c r="J1"/>
      <c r="K1"/>
    </row>
    <row r="3" spans="1:11" ht="20.25" customHeight="1" x14ac:dyDescent="0.2">
      <c r="A3" s="97"/>
      <c r="B3" s="2" t="s">
        <v>640</v>
      </c>
      <c r="C3" s="3"/>
      <c r="D3" s="3"/>
      <c r="E3" s="3"/>
      <c r="F3" s="3"/>
      <c r="G3" s="3"/>
      <c r="H3" s="3"/>
      <c r="I3" s="3"/>
      <c r="J3" s="3"/>
      <c r="K3" s="3"/>
    </row>
    <row r="4" spans="1:11" ht="20.25" customHeight="1" x14ac:dyDescent="0.2">
      <c r="A4" s="97"/>
      <c r="B4" s="2" t="s">
        <v>641</v>
      </c>
      <c r="C4" s="3"/>
      <c r="D4" s="3"/>
      <c r="E4" s="3"/>
      <c r="F4" s="3"/>
      <c r="G4" s="3"/>
      <c r="H4" s="3"/>
      <c r="I4" s="3"/>
      <c r="J4" s="3"/>
      <c r="K4" s="3"/>
    </row>
    <row r="5" spans="1:11" ht="20.25" customHeight="1" x14ac:dyDescent="0.2">
      <c r="A5" s="97"/>
      <c r="B5" s="2" t="s">
        <v>642</v>
      </c>
      <c r="C5" s="3"/>
      <c r="D5" s="3"/>
      <c r="E5" s="3"/>
      <c r="F5" s="3"/>
      <c r="G5" s="3"/>
      <c r="H5" s="3"/>
      <c r="I5" s="3"/>
      <c r="J5" s="3"/>
      <c r="K5" s="3"/>
    </row>
    <row r="6" spans="1:11" ht="20.25" customHeight="1" x14ac:dyDescent="0.2">
      <c r="A6" s="97"/>
      <c r="B6" s="2" t="s">
        <v>643</v>
      </c>
      <c r="C6" s="3"/>
      <c r="D6" s="3"/>
      <c r="E6" s="3"/>
      <c r="F6" s="3"/>
      <c r="G6" s="3"/>
      <c r="H6" s="3"/>
      <c r="I6" s="3"/>
      <c r="J6" s="3"/>
      <c r="K6" s="3"/>
    </row>
    <row r="7" spans="1:11" ht="20.25" customHeight="1" x14ac:dyDescent="0.2">
      <c r="A7" s="97"/>
      <c r="B7" s="2" t="s">
        <v>644</v>
      </c>
      <c r="C7" s="3"/>
      <c r="D7" s="3"/>
      <c r="E7" s="3"/>
      <c r="F7" s="3"/>
      <c r="G7" s="3"/>
      <c r="H7" s="3"/>
      <c r="I7" s="3"/>
      <c r="J7" s="3"/>
      <c r="K7" s="3"/>
    </row>
    <row r="8" spans="1:11" ht="20.25" customHeight="1" x14ac:dyDescent="0.2">
      <c r="A8" s="97"/>
      <c r="B8" s="2" t="s">
        <v>645</v>
      </c>
      <c r="C8" s="3"/>
      <c r="D8" s="3"/>
      <c r="E8" s="3"/>
      <c r="F8" s="3"/>
      <c r="G8" s="3"/>
      <c r="H8" s="3"/>
      <c r="I8" s="3"/>
      <c r="J8" s="3"/>
      <c r="K8" s="3"/>
    </row>
    <row r="9" spans="1:11" ht="20.25" customHeight="1" x14ac:dyDescent="0.2">
      <c r="A9" s="97"/>
      <c r="B9" s="2" t="s">
        <v>646</v>
      </c>
      <c r="C9" s="2"/>
      <c r="D9" s="2"/>
      <c r="E9" s="2"/>
      <c r="F9" s="2"/>
      <c r="G9" s="2"/>
      <c r="H9" s="2"/>
      <c r="I9" s="2"/>
      <c r="J9" s="2"/>
      <c r="K9" s="3"/>
    </row>
    <row r="10" spans="1:11" ht="20.25" customHeight="1" x14ac:dyDescent="0.2">
      <c r="A10" s="97"/>
      <c r="B10" s="2" t="s">
        <v>647</v>
      </c>
      <c r="C10" s="3"/>
      <c r="D10" s="3"/>
      <c r="E10" s="3"/>
      <c r="F10" s="3"/>
      <c r="G10" s="3"/>
      <c r="H10" s="3"/>
      <c r="I10" s="3"/>
      <c r="J10" s="3"/>
      <c r="K10" s="3"/>
    </row>
    <row r="11" spans="1:11" ht="20.25" customHeight="1" x14ac:dyDescent="0.2">
      <c r="A11" s="97"/>
      <c r="B11" s="2" t="s">
        <v>648</v>
      </c>
      <c r="C11" s="3"/>
      <c r="D11" s="3"/>
      <c r="E11" s="3"/>
      <c r="F11" s="3"/>
      <c r="G11" s="3"/>
      <c r="H11" s="3"/>
      <c r="I11" s="3"/>
      <c r="J11" s="3"/>
      <c r="K11" s="3"/>
    </row>
    <row r="12" spans="1:11" ht="20.25" customHeight="1" x14ac:dyDescent="0.2">
      <c r="A12" s="97"/>
      <c r="B12" s="2" t="s">
        <v>649</v>
      </c>
      <c r="C12" s="3"/>
      <c r="D12" s="3"/>
      <c r="E12" s="3"/>
      <c r="F12" s="3"/>
      <c r="G12" s="3"/>
      <c r="H12" s="3"/>
      <c r="I12" s="3"/>
      <c r="J12" s="3"/>
      <c r="K12" s="3"/>
    </row>
    <row r="13" spans="1:11" ht="20.25" customHeight="1" x14ac:dyDescent="0.2">
      <c r="A13"/>
      <c r="B13" s="2" t="s">
        <v>650</v>
      </c>
      <c r="C13"/>
      <c r="D13"/>
      <c r="E13"/>
      <c r="F13"/>
      <c r="G13"/>
      <c r="H13"/>
      <c r="I13"/>
      <c r="J13"/>
      <c r="K13"/>
    </row>
    <row r="14" spans="1:11" ht="48" customHeight="1" x14ac:dyDescent="0.2">
      <c r="A14"/>
      <c r="B14" s="813" t="s">
        <v>651</v>
      </c>
      <c r="C14" s="814"/>
      <c r="D14" s="814"/>
      <c r="E14" s="814"/>
      <c r="F14" s="814"/>
      <c r="G14" s="814"/>
      <c r="H14" s="814"/>
      <c r="I14" s="814"/>
      <c r="J14" s="814"/>
      <c r="K14" s="814"/>
    </row>
    <row r="15" spans="1:11" ht="21" customHeight="1" x14ac:dyDescent="0.2">
      <c r="A15"/>
      <c r="B15" s="813" t="s">
        <v>652</v>
      </c>
      <c r="C15" s="813"/>
      <c r="D15" s="813"/>
      <c r="E15" s="813"/>
      <c r="F15" s="813"/>
      <c r="G15" s="813"/>
    </row>
    <row r="16" spans="1:11" ht="20.25" customHeight="1" x14ac:dyDescent="0.2">
      <c r="A16"/>
      <c r="B16" s="2" t="s">
        <v>777</v>
      </c>
      <c r="C16"/>
      <c r="D16"/>
      <c r="E16"/>
      <c r="F16"/>
      <c r="G16"/>
      <c r="H16"/>
      <c r="I16"/>
      <c r="J16"/>
      <c r="K16"/>
    </row>
    <row r="17" spans="1:19" ht="20.25" customHeight="1" x14ac:dyDescent="0.2">
      <c r="A17"/>
      <c r="B17" s="2" t="s">
        <v>653</v>
      </c>
      <c r="C17"/>
      <c r="D17"/>
      <c r="E17"/>
      <c r="F17"/>
      <c r="G17"/>
      <c r="H17"/>
      <c r="I17"/>
      <c r="J17"/>
      <c r="K17"/>
    </row>
    <row r="18" spans="1:19" ht="20.25" customHeight="1" x14ac:dyDescent="0.2">
      <c r="A18"/>
      <c r="B18" s="2" t="s">
        <v>654</v>
      </c>
      <c r="C18"/>
      <c r="D18"/>
      <c r="E18"/>
      <c r="F18"/>
      <c r="G18"/>
      <c r="H18"/>
      <c r="I18"/>
      <c r="J18"/>
      <c r="K18"/>
    </row>
    <row r="19" spans="1:19" ht="20.25" customHeight="1" x14ac:dyDescent="0.2">
      <c r="A19"/>
      <c r="B19" s="2" t="s">
        <v>655</v>
      </c>
      <c r="C19"/>
      <c r="D19"/>
      <c r="E19"/>
      <c r="F19"/>
      <c r="G19"/>
      <c r="H19"/>
      <c r="I19"/>
      <c r="J19"/>
      <c r="K19"/>
    </row>
    <row r="20" spans="1:19" ht="20.25" customHeight="1" x14ac:dyDescent="0.2">
      <c r="A20"/>
      <c r="B20" s="2" t="s">
        <v>656</v>
      </c>
      <c r="C20"/>
      <c r="D20"/>
      <c r="E20"/>
      <c r="F20"/>
      <c r="G20"/>
    </row>
    <row r="21" spans="1:19" ht="20.25" customHeight="1" x14ac:dyDescent="0.2">
      <c r="A21"/>
      <c r="B21" s="2" t="s">
        <v>657</v>
      </c>
      <c r="C21"/>
      <c r="D21"/>
      <c r="E21"/>
      <c r="F21"/>
      <c r="G21"/>
    </row>
    <row r="22" spans="1:19" ht="20.25" customHeight="1" x14ac:dyDescent="0.2">
      <c r="A22"/>
      <c r="B22" s="2" t="s">
        <v>658</v>
      </c>
      <c r="C22"/>
      <c r="D22"/>
      <c r="E22"/>
      <c r="F22"/>
      <c r="G22"/>
    </row>
    <row r="23" spans="1:19" ht="20.25" customHeight="1" x14ac:dyDescent="0.2">
      <c r="A23"/>
      <c r="B23" s="2" t="s">
        <v>659</v>
      </c>
      <c r="C23"/>
      <c r="D23"/>
      <c r="E23"/>
      <c r="F23"/>
      <c r="G23"/>
    </row>
    <row r="24" spans="1:19" ht="20.25" customHeight="1" x14ac:dyDescent="0.2">
      <c r="A24"/>
      <c r="B24" s="2" t="s">
        <v>660</v>
      </c>
      <c r="C24"/>
      <c r="D24"/>
      <c r="E24"/>
      <c r="F24"/>
      <c r="G24"/>
    </row>
    <row r="25" spans="1:19" ht="20.25" customHeight="1" x14ac:dyDescent="0.2">
      <c r="A25"/>
      <c r="B25" s="2" t="s">
        <v>661</v>
      </c>
      <c r="C25"/>
      <c r="D25"/>
      <c r="E25"/>
      <c r="F25"/>
      <c r="G25"/>
    </row>
    <row r="26" spans="1:19" ht="20.25" customHeight="1" x14ac:dyDescent="0.2">
      <c r="A26"/>
      <c r="B26" s="2" t="s">
        <v>662</v>
      </c>
      <c r="C26"/>
      <c r="D26"/>
      <c r="E26"/>
      <c r="F26" s="2"/>
      <c r="G26" s="2"/>
      <c r="S26" s="86"/>
    </row>
    <row r="27" spans="1:19" ht="20.25" customHeight="1" x14ac:dyDescent="0.2">
      <c r="A27"/>
      <c r="B27" s="2" t="s">
        <v>663</v>
      </c>
      <c r="C27"/>
      <c r="D27"/>
      <c r="E27"/>
      <c r="F27"/>
      <c r="G27"/>
      <c r="S27" s="86"/>
    </row>
    <row r="28" spans="1:19" ht="20.25" customHeight="1" x14ac:dyDescent="0.2">
      <c r="A28"/>
      <c r="B28" s="2" t="s">
        <v>664</v>
      </c>
      <c r="C28"/>
      <c r="D28"/>
      <c r="E28"/>
      <c r="F28"/>
      <c r="G28"/>
      <c r="S28" s="86"/>
    </row>
    <row r="29" spans="1:19" s="93" customFormat="1" ht="19.5" customHeight="1" x14ac:dyDescent="0.2">
      <c r="A29" s="99"/>
      <c r="B29" s="2" t="s">
        <v>665</v>
      </c>
      <c r="S29" s="86"/>
    </row>
    <row r="30" spans="1:19" s="93" customFormat="1" ht="19.5" customHeight="1" x14ac:dyDescent="0.2">
      <c r="A30" s="99"/>
      <c r="B30" s="2" t="s">
        <v>666</v>
      </c>
      <c r="S30" s="86"/>
    </row>
    <row r="31" spans="1:19" s="93" customFormat="1" ht="19.5" customHeight="1" x14ac:dyDescent="0.2">
      <c r="A31" s="99"/>
      <c r="B31" s="2" t="s">
        <v>667</v>
      </c>
      <c r="S31" s="86"/>
    </row>
    <row r="32" spans="1:19" s="93" customFormat="1" ht="19.5" customHeight="1" x14ac:dyDescent="0.2">
      <c r="A32" s="99"/>
      <c r="B32" s="814" t="s">
        <v>668</v>
      </c>
      <c r="C32" s="814"/>
      <c r="D32" s="814"/>
      <c r="E32" s="814"/>
      <c r="F32" s="814"/>
      <c r="G32" s="814"/>
      <c r="S32" s="86"/>
    </row>
    <row r="33" spans="1:19" s="93" customFormat="1" ht="19.5" customHeight="1" x14ac:dyDescent="0.2">
      <c r="A33" s="99"/>
      <c r="B33" s="2" t="s">
        <v>669</v>
      </c>
      <c r="S33" s="86"/>
    </row>
    <row r="34" spans="1:19" s="93" customFormat="1" ht="41.25" customHeight="1" x14ac:dyDescent="0.2">
      <c r="A34" s="99"/>
      <c r="B34" s="813" t="s">
        <v>670</v>
      </c>
      <c r="C34" s="813"/>
      <c r="D34" s="813"/>
      <c r="E34" s="813"/>
      <c r="F34" s="813"/>
      <c r="G34" s="813"/>
      <c r="H34" s="813"/>
      <c r="I34" s="813"/>
      <c r="J34" s="813"/>
      <c r="K34" s="813"/>
      <c r="L34" s="104"/>
      <c r="M34" s="104"/>
      <c r="N34" s="104"/>
      <c r="O34" s="104"/>
      <c r="S34" s="86"/>
    </row>
    <row r="35" spans="1:19" s="93" customFormat="1" ht="19.5" customHeight="1" x14ac:dyDescent="0.2">
      <c r="A35" s="99"/>
      <c r="B35" s="2" t="s">
        <v>671</v>
      </c>
      <c r="S35" s="86"/>
    </row>
    <row r="36" spans="1:19" s="86" customFormat="1" ht="20.25" customHeight="1" x14ac:dyDescent="0.2">
      <c r="A36" s="85"/>
      <c r="B36" s="2" t="s">
        <v>672</v>
      </c>
    </row>
    <row r="37" spans="1:19" ht="20.25" customHeight="1" x14ac:dyDescent="0.2">
      <c r="A37" s="1"/>
      <c r="B37" s="2" t="s">
        <v>673</v>
      </c>
      <c r="C37"/>
      <c r="D37"/>
      <c r="E37"/>
      <c r="F37"/>
      <c r="G37"/>
      <c r="S37" s="86"/>
    </row>
    <row r="38" spans="1:19" ht="20.25" customHeight="1" x14ac:dyDescent="0.2">
      <c r="A38" s="1"/>
      <c r="B38" s="2" t="s">
        <v>674</v>
      </c>
      <c r="C38"/>
      <c r="D38"/>
      <c r="E38"/>
      <c r="F38"/>
      <c r="G38"/>
      <c r="S38" s="86"/>
    </row>
    <row r="39" spans="1:19" ht="20.25" customHeight="1" x14ac:dyDescent="0.2">
      <c r="A39" s="1"/>
      <c r="B39" s="2" t="s">
        <v>675</v>
      </c>
      <c r="C39"/>
      <c r="D39"/>
      <c r="E39"/>
      <c r="F39"/>
      <c r="G39"/>
    </row>
    <row r="40" spans="1:19" ht="20.25" customHeight="1" x14ac:dyDescent="0.2">
      <c r="A40" s="1"/>
      <c r="B40" s="2" t="s">
        <v>676</v>
      </c>
      <c r="C40"/>
      <c r="D40"/>
      <c r="E40"/>
      <c r="F40"/>
      <c r="G40"/>
    </row>
    <row r="41" spans="1:19" s="92" customFormat="1" ht="20.25" customHeight="1" x14ac:dyDescent="0.2">
      <c r="B41" s="2" t="s">
        <v>677</v>
      </c>
    </row>
    <row r="42" spans="1:19" s="92" customFormat="1" ht="20.25" customHeight="1" x14ac:dyDescent="0.2">
      <c r="B42" s="2" t="s">
        <v>678</v>
      </c>
    </row>
    <row r="43" spans="1:19" s="92" customFormat="1" ht="20.25" customHeight="1" x14ac:dyDescent="0.2">
      <c r="B43" s="2"/>
    </row>
    <row r="44" spans="1:19" s="92" customFormat="1" ht="20.25" customHeight="1" x14ac:dyDescent="0.2">
      <c r="B44" s="2" t="s">
        <v>679</v>
      </c>
    </row>
    <row r="45" spans="1:19" s="92" customFormat="1" ht="20.25" customHeight="1" x14ac:dyDescent="0.2">
      <c r="B45" s="2" t="s">
        <v>680</v>
      </c>
    </row>
    <row r="46" spans="1:19" s="92" customFormat="1" ht="20.25" customHeight="1" x14ac:dyDescent="0.2">
      <c r="B46" s="2" t="s">
        <v>681</v>
      </c>
    </row>
    <row r="47" spans="1:19" s="92" customFormat="1" ht="20.25" customHeight="1" x14ac:dyDescent="0.2">
      <c r="B47" s="2" t="s">
        <v>682</v>
      </c>
    </row>
    <row r="48" spans="1:19" s="92" customFormat="1" ht="20.25" customHeight="1" x14ac:dyDescent="0.2">
      <c r="B48" s="2" t="s">
        <v>683</v>
      </c>
    </row>
    <row r="49" spans="1:19" s="92" customFormat="1" ht="20.25" customHeight="1" x14ac:dyDescent="0.2">
      <c r="B49" s="2" t="s">
        <v>684</v>
      </c>
    </row>
    <row r="50" spans="1:19" s="92" customFormat="1" ht="20.25" customHeight="1" x14ac:dyDescent="0.2"/>
    <row r="51" spans="1:19" s="92" customFormat="1" ht="20.25" customHeight="1" x14ac:dyDescent="0.2">
      <c r="B51" s="2" t="s">
        <v>685</v>
      </c>
    </row>
    <row r="52" spans="1:19" s="92" customFormat="1" ht="20.25" customHeight="1" x14ac:dyDescent="0.2">
      <c r="B52" s="2" t="s">
        <v>686</v>
      </c>
    </row>
    <row r="53" spans="1:19" s="92" customFormat="1" ht="20.25" customHeight="1" x14ac:dyDescent="0.2">
      <c r="B53" s="2" t="s">
        <v>687</v>
      </c>
    </row>
    <row r="54" spans="1:19" s="92" customFormat="1" ht="42" customHeight="1" x14ac:dyDescent="0.2">
      <c r="B54" s="815" t="s">
        <v>688</v>
      </c>
      <c r="C54" s="815"/>
      <c r="D54" s="815"/>
      <c r="E54" s="815"/>
      <c r="F54" s="815"/>
      <c r="G54" s="815"/>
      <c r="H54" s="815"/>
      <c r="I54" s="815"/>
      <c r="J54" s="815"/>
      <c r="K54" s="815"/>
      <c r="L54" s="815"/>
      <c r="M54" s="815"/>
      <c r="N54" s="815"/>
      <c r="O54" s="815"/>
      <c r="P54" s="815"/>
      <c r="Q54" s="815"/>
      <c r="S54" s="95"/>
    </row>
    <row r="55" spans="1:19" s="92" customFormat="1" ht="20.25" customHeight="1" x14ac:dyDescent="0.2">
      <c r="B55" s="813" t="s">
        <v>689</v>
      </c>
      <c r="C55" s="813"/>
      <c r="D55" s="813"/>
      <c r="E55" s="813"/>
      <c r="F55" s="813"/>
      <c r="G55" s="813"/>
      <c r="S55" s="95"/>
    </row>
    <row r="56" spans="1:19" s="92" customFormat="1" ht="20.25" customHeight="1" x14ac:dyDescent="0.2">
      <c r="B56" s="2" t="s">
        <v>690</v>
      </c>
      <c r="C56" s="93"/>
      <c r="D56" s="93"/>
      <c r="E56" s="93"/>
      <c r="S56" s="95"/>
    </row>
    <row r="57" spans="1:19" s="92" customFormat="1" ht="20.25" customHeight="1" x14ac:dyDescent="0.2">
      <c r="B57" s="2" t="s">
        <v>691</v>
      </c>
      <c r="C57" s="93"/>
      <c r="D57" s="93"/>
      <c r="E57" s="93"/>
      <c r="S57" s="95"/>
    </row>
    <row r="58" spans="1:19" s="92" customFormat="1" ht="35.25" customHeight="1" x14ac:dyDescent="0.2">
      <c r="B58" s="815" t="s">
        <v>692</v>
      </c>
      <c r="C58" s="815"/>
      <c r="D58" s="815"/>
      <c r="E58" s="815"/>
      <c r="F58" s="815"/>
      <c r="G58" s="815"/>
      <c r="H58" s="815"/>
      <c r="I58" s="815"/>
      <c r="J58" s="815"/>
      <c r="K58" s="815"/>
      <c r="L58" s="815"/>
      <c r="M58" s="815"/>
      <c r="N58" s="815"/>
      <c r="O58" s="815"/>
      <c r="P58" s="815"/>
      <c r="Q58" s="815"/>
      <c r="S58" s="95"/>
    </row>
    <row r="59" spans="1:19" s="92" customFormat="1" ht="20.25" customHeight="1" x14ac:dyDescent="0.2">
      <c r="B59" s="814" t="s">
        <v>693</v>
      </c>
      <c r="C59" s="814"/>
      <c r="D59" s="814"/>
      <c r="E59" s="814"/>
      <c r="F59" s="814"/>
      <c r="G59" s="814"/>
      <c r="H59" s="814"/>
      <c r="I59" s="814"/>
      <c r="J59" s="814"/>
      <c r="K59" s="814"/>
      <c r="L59" s="814"/>
      <c r="M59" s="814"/>
      <c r="S59" s="95"/>
    </row>
    <row r="60" spans="1:19" s="92" customFormat="1" ht="20.25" customHeight="1" x14ac:dyDescent="0.2">
      <c r="B60" s="813" t="s">
        <v>694</v>
      </c>
      <c r="C60" s="813"/>
      <c r="D60" s="813"/>
      <c r="E60" s="813"/>
      <c r="F60" s="813"/>
      <c r="G60" s="813"/>
      <c r="S60" s="95"/>
    </row>
    <row r="61" spans="1:19" ht="20.25" customHeight="1" x14ac:dyDescent="0.2">
      <c r="A61" s="97"/>
      <c r="B61" s="2" t="s">
        <v>695</v>
      </c>
      <c r="C61" s="3"/>
      <c r="D61" s="3"/>
      <c r="E61" s="3"/>
      <c r="F61" s="3"/>
      <c r="G61" s="3"/>
      <c r="H61" s="3"/>
      <c r="I61" s="3"/>
      <c r="J61" s="3"/>
      <c r="K61" s="3"/>
    </row>
    <row r="62" spans="1:19" s="92" customFormat="1" ht="20.25" customHeight="1" x14ac:dyDescent="0.2">
      <c r="B62" s="813" t="s">
        <v>696</v>
      </c>
      <c r="C62" s="813"/>
      <c r="D62" s="813"/>
      <c r="E62" s="813"/>
      <c r="F62" s="813"/>
      <c r="G62" s="813"/>
      <c r="S62" s="95"/>
    </row>
    <row r="63" spans="1:19" s="92" customFormat="1" ht="20.25" customHeight="1" x14ac:dyDescent="0.2">
      <c r="B63" s="813" t="s">
        <v>697</v>
      </c>
      <c r="C63" s="813"/>
      <c r="D63" s="813"/>
      <c r="E63" s="813"/>
      <c r="F63" s="813"/>
      <c r="G63" s="813"/>
      <c r="S63" s="95"/>
    </row>
    <row r="64" spans="1:19" s="92" customFormat="1" ht="20.25" customHeight="1" x14ac:dyDescent="0.2">
      <c r="B64" s="813" t="s">
        <v>698</v>
      </c>
      <c r="C64" s="813"/>
      <c r="D64" s="813"/>
      <c r="E64" s="813"/>
      <c r="F64" s="813"/>
      <c r="G64" s="813"/>
      <c r="S64" s="95"/>
    </row>
    <row r="65" spans="1:19" s="92" customFormat="1" ht="20.25" customHeight="1" x14ac:dyDescent="0.2">
      <c r="B65" s="813" t="s">
        <v>699</v>
      </c>
      <c r="C65" s="813"/>
      <c r="D65" s="813"/>
      <c r="E65" s="813"/>
      <c r="F65" s="813"/>
      <c r="G65" s="813"/>
      <c r="S65" s="95"/>
    </row>
    <row r="66" spans="1:19" s="92" customFormat="1" ht="20.25" customHeight="1" x14ac:dyDescent="0.2">
      <c r="B66" s="813" t="s">
        <v>700</v>
      </c>
      <c r="C66" s="813"/>
      <c r="D66" s="813"/>
      <c r="E66" s="813"/>
      <c r="F66" s="813"/>
      <c r="G66" s="813"/>
      <c r="H66" s="813"/>
      <c r="I66" s="813"/>
      <c r="J66" s="813"/>
      <c r="K66" s="813"/>
      <c r="L66" s="813"/>
      <c r="M66" s="813"/>
      <c r="N66" s="813"/>
      <c r="O66" s="813"/>
      <c r="P66" s="813"/>
      <c r="Q66" s="813"/>
      <c r="S66" s="95"/>
    </row>
    <row r="67" spans="1:19" s="92" customFormat="1" ht="20.25" customHeight="1" x14ac:dyDescent="0.2">
      <c r="B67" s="813" t="s">
        <v>701</v>
      </c>
      <c r="C67" s="813"/>
      <c r="D67" s="813"/>
      <c r="E67" s="813"/>
      <c r="F67" s="813"/>
      <c r="G67" s="813"/>
      <c r="H67" s="813"/>
      <c r="I67" s="813"/>
      <c r="J67" s="813"/>
      <c r="K67" s="813"/>
      <c r="L67" s="813"/>
      <c r="M67" s="813"/>
      <c r="N67" s="813"/>
      <c r="O67" s="813"/>
      <c r="P67" s="813"/>
      <c r="Q67" s="813"/>
      <c r="S67" s="95"/>
    </row>
    <row r="68" spans="1:19" s="92" customFormat="1" ht="20.25" customHeight="1" x14ac:dyDescent="0.2">
      <c r="B68" s="813" t="s">
        <v>702</v>
      </c>
      <c r="C68" s="813"/>
      <c r="D68" s="813"/>
      <c r="E68" s="813"/>
      <c r="F68" s="813"/>
      <c r="G68" s="813"/>
      <c r="H68" s="813"/>
      <c r="I68" s="813"/>
      <c r="J68" s="813"/>
      <c r="K68" s="813"/>
      <c r="L68" s="813"/>
      <c r="M68" s="813"/>
      <c r="N68" s="813"/>
      <c r="O68" s="813"/>
      <c r="P68" s="813"/>
      <c r="Q68" s="813"/>
      <c r="S68" s="95"/>
    </row>
    <row r="69" spans="1:19" s="92" customFormat="1" ht="20.25" customHeight="1" x14ac:dyDescent="0.2">
      <c r="B69" s="2" t="s">
        <v>703</v>
      </c>
    </row>
    <row r="70" spans="1:19" s="86" customFormat="1" ht="20.25" customHeight="1" x14ac:dyDescent="0.2">
      <c r="A70" s="85"/>
      <c r="B70" s="2" t="s">
        <v>704</v>
      </c>
      <c r="C70" s="92"/>
      <c r="D70" s="92"/>
      <c r="E70" s="92"/>
    </row>
    <row r="71" spans="1:19" s="86" customFormat="1" ht="20.25" customHeight="1" x14ac:dyDescent="0.2">
      <c r="A71" s="85"/>
      <c r="B71" s="2" t="s">
        <v>705</v>
      </c>
      <c r="C71" s="92"/>
      <c r="D71" s="92"/>
      <c r="E71" s="92"/>
    </row>
    <row r="72" spans="1:19" ht="20.25" customHeight="1" x14ac:dyDescent="0.2">
      <c r="A72" s="97"/>
      <c r="B72" s="2" t="s">
        <v>706</v>
      </c>
      <c r="C72" s="86"/>
      <c r="D72" s="86"/>
      <c r="E72" s="86"/>
      <c r="F72" s="3"/>
      <c r="G72" s="3"/>
      <c r="H72" s="3"/>
      <c r="I72" s="3"/>
      <c r="J72" s="3"/>
      <c r="K72" s="3"/>
    </row>
    <row r="73" spans="1:19" ht="20.25" customHeight="1" x14ac:dyDescent="0.2">
      <c r="A73" s="97"/>
      <c r="B73" s="2"/>
      <c r="C73" s="86"/>
      <c r="D73" s="86"/>
      <c r="E73" s="86"/>
      <c r="F73" s="3"/>
      <c r="G73" s="3"/>
      <c r="H73" s="3"/>
      <c r="I73" s="3"/>
      <c r="J73" s="3"/>
      <c r="K73" s="3"/>
    </row>
    <row r="74" spans="1:19" ht="20.25" customHeight="1" x14ac:dyDescent="0.2">
      <c r="B74" s="96" t="s">
        <v>707</v>
      </c>
      <c r="C74" s="86"/>
      <c r="D74" s="86"/>
      <c r="E74" s="86"/>
    </row>
    <row r="75" spans="1:19" ht="20.25" customHeight="1" x14ac:dyDescent="0.2">
      <c r="C75" s="3"/>
      <c r="D75" s="3"/>
      <c r="E75" s="3"/>
    </row>
    <row r="76" spans="1:19" ht="20.25" customHeight="1" x14ac:dyDescent="0.2">
      <c r="B76" s="2" t="s">
        <v>708</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542"/>
  <sheetViews>
    <sheetView view="pageBreakPreview" topLeftCell="A512" zoomScale="70" zoomScaleNormal="75" zoomScaleSheetLayoutView="70" workbookViewId="0">
      <selection activeCell="T523" sqref="T523"/>
    </sheetView>
  </sheetViews>
  <sheetFormatPr defaultColWidth="9" defaultRowHeight="13.2"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08" customWidth="1"/>
    <col min="8" max="8" width="33.88671875" style="108" customWidth="1"/>
    <col min="9" max="24" width="5.21875" style="108" customWidth="1"/>
    <col min="25" max="32" width="4.88671875" style="108" customWidth="1"/>
    <col min="33" max="33" width="13.33203125" style="108" hidden="1" customWidth="1"/>
    <col min="34" max="55" width="0" style="108" hidden="1" customWidth="1"/>
    <col min="56" max="16384" width="9" style="108"/>
  </cols>
  <sheetData>
    <row r="2" spans="1:38" ht="20.25" customHeight="1" x14ac:dyDescent="0.2">
      <c r="A2" s="288" t="s">
        <v>783</v>
      </c>
      <c r="B2" s="288"/>
    </row>
    <row r="3" spans="1:38" ht="20.25" customHeight="1" x14ac:dyDescent="0.2">
      <c r="A3" s="681" t="s">
        <v>472</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row>
    <row r="4" spans="1:38" ht="20.25" customHeight="1" x14ac:dyDescent="0.2"/>
    <row r="5" spans="1:38" s="343" customFormat="1" ht="30" customHeight="1" x14ac:dyDescent="0.2">
      <c r="A5" s="685" t="s">
        <v>787</v>
      </c>
      <c r="B5" s="686"/>
      <c r="C5" s="686"/>
      <c r="D5" s="686"/>
      <c r="E5" s="687"/>
      <c r="F5" s="685" t="s">
        <v>788</v>
      </c>
      <c r="G5" s="686"/>
      <c r="H5" s="686"/>
      <c r="I5" s="686"/>
      <c r="J5" s="687"/>
      <c r="K5" s="688" t="s">
        <v>789</v>
      </c>
      <c r="L5" s="689"/>
      <c r="M5" s="689"/>
      <c r="N5" s="689"/>
      <c r="O5" s="689"/>
      <c r="P5" s="689"/>
      <c r="Q5" s="689"/>
      <c r="R5" s="690"/>
      <c r="S5" s="682" t="s">
        <v>84</v>
      </c>
      <c r="T5" s="683"/>
      <c r="U5" s="683"/>
      <c r="V5" s="684"/>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6" spans="1:38" ht="20.25" customHeight="1" x14ac:dyDescent="0.2">
      <c r="AG6" s="109"/>
    </row>
    <row r="7" spans="1:38" ht="17.25" customHeight="1" x14ac:dyDescent="0.2">
      <c r="A7" s="682" t="s">
        <v>85</v>
      </c>
      <c r="B7" s="683"/>
      <c r="C7" s="684"/>
      <c r="D7" s="682" t="s">
        <v>1</v>
      </c>
      <c r="E7" s="684"/>
      <c r="F7" s="682" t="s">
        <v>86</v>
      </c>
      <c r="G7" s="684"/>
      <c r="H7" s="682" t="s">
        <v>473</v>
      </c>
      <c r="I7" s="683"/>
      <c r="J7" s="683"/>
      <c r="K7" s="683"/>
      <c r="L7" s="683"/>
      <c r="M7" s="683"/>
      <c r="N7" s="683"/>
      <c r="O7" s="683"/>
      <c r="P7" s="683"/>
      <c r="Q7" s="683"/>
      <c r="R7" s="683"/>
      <c r="S7" s="683"/>
      <c r="T7" s="683"/>
      <c r="U7" s="683"/>
      <c r="V7" s="683"/>
      <c r="W7" s="683"/>
      <c r="X7" s="684"/>
      <c r="Y7" s="682" t="s">
        <v>227</v>
      </c>
      <c r="Z7" s="683"/>
      <c r="AA7" s="683"/>
      <c r="AB7" s="684"/>
      <c r="AC7" s="682" t="s">
        <v>87</v>
      </c>
      <c r="AD7" s="683"/>
      <c r="AE7" s="683"/>
      <c r="AF7" s="684"/>
      <c r="AG7" s="109"/>
    </row>
    <row r="8" spans="1:38" ht="18.75" customHeight="1" x14ac:dyDescent="0.2">
      <c r="A8" s="699" t="s">
        <v>88</v>
      </c>
      <c r="B8" s="700"/>
      <c r="C8" s="701"/>
      <c r="D8" s="115"/>
      <c r="E8" s="225"/>
      <c r="F8" s="131"/>
      <c r="G8" s="225"/>
      <c r="H8" s="705" t="s">
        <v>89</v>
      </c>
      <c r="I8" s="134" t="s">
        <v>383</v>
      </c>
      <c r="J8" s="119" t="s">
        <v>238</v>
      </c>
      <c r="K8" s="120"/>
      <c r="L8" s="120"/>
      <c r="M8" s="134" t="s">
        <v>383</v>
      </c>
      <c r="N8" s="119" t="s">
        <v>239</v>
      </c>
      <c r="O8" s="120"/>
      <c r="P8" s="120"/>
      <c r="Q8" s="134" t="s">
        <v>383</v>
      </c>
      <c r="R8" s="119" t="s">
        <v>240</v>
      </c>
      <c r="S8" s="120"/>
      <c r="T8" s="120"/>
      <c r="U8" s="134" t="s">
        <v>781</v>
      </c>
      <c r="V8" s="119" t="s">
        <v>241</v>
      </c>
      <c r="W8" s="120"/>
      <c r="X8" s="121"/>
      <c r="Y8" s="675"/>
      <c r="Z8" s="676"/>
      <c r="AA8" s="676"/>
      <c r="AB8" s="677"/>
      <c r="AC8" s="675"/>
      <c r="AD8" s="676"/>
      <c r="AE8" s="676"/>
      <c r="AF8" s="677"/>
      <c r="AG8" s="109" t="str">
        <f>"tiikikbn_code:"&amp; IF(I8="■",1,IF(M8="■",6,IF(Q8="■",7,IF(U8="■",2,IF(I9="■",3,IF(M9="■",4,IF(Q9="■",9,IF(U9="■",5,0))))))))</f>
        <v>tiikikbn_code:2</v>
      </c>
    </row>
    <row r="9" spans="1:38" ht="18.75" customHeight="1" x14ac:dyDescent="0.2">
      <c r="A9" s="783"/>
      <c r="B9" s="784"/>
      <c r="C9" s="785"/>
      <c r="D9" s="276"/>
      <c r="E9" s="228"/>
      <c r="F9" s="186"/>
      <c r="G9" s="228"/>
      <c r="H9" s="786"/>
      <c r="I9" s="277" t="s">
        <v>383</v>
      </c>
      <c r="J9" s="231" t="s">
        <v>242</v>
      </c>
      <c r="K9" s="278"/>
      <c r="L9" s="278"/>
      <c r="M9" s="211" t="s">
        <v>383</v>
      </c>
      <c r="N9" s="231" t="s">
        <v>243</v>
      </c>
      <c r="O9" s="278"/>
      <c r="P9" s="278"/>
      <c r="Q9" s="211" t="s">
        <v>383</v>
      </c>
      <c r="R9" s="231" t="s">
        <v>244</v>
      </c>
      <c r="S9" s="278"/>
      <c r="T9" s="278"/>
      <c r="U9" s="211" t="s">
        <v>383</v>
      </c>
      <c r="V9" s="231" t="s">
        <v>245</v>
      </c>
      <c r="W9" s="278"/>
      <c r="X9" s="187"/>
      <c r="Y9" s="722"/>
      <c r="Z9" s="723"/>
      <c r="AA9" s="723"/>
      <c r="AB9" s="724"/>
      <c r="AC9" s="722"/>
      <c r="AD9" s="723"/>
      <c r="AE9" s="723"/>
      <c r="AF9" s="724"/>
      <c r="AG9" s="109"/>
    </row>
    <row r="10" spans="1:38" ht="19.5" customHeight="1" x14ac:dyDescent="0.2">
      <c r="A10" s="129"/>
      <c r="B10" s="656"/>
      <c r="C10" s="130"/>
      <c r="D10" s="131"/>
      <c r="E10" s="121"/>
      <c r="F10" s="132"/>
      <c r="G10" s="133"/>
      <c r="H10" s="262" t="s">
        <v>430</v>
      </c>
      <c r="I10" s="196" t="s">
        <v>383</v>
      </c>
      <c r="J10" s="197" t="s">
        <v>395</v>
      </c>
      <c r="K10" s="198"/>
      <c r="L10" s="199"/>
      <c r="M10" s="200" t="s">
        <v>383</v>
      </c>
      <c r="N10" s="197" t="s">
        <v>431</v>
      </c>
      <c r="O10" s="197"/>
      <c r="P10" s="197"/>
      <c r="Q10" s="201"/>
      <c r="R10" s="201"/>
      <c r="S10" s="201"/>
      <c r="T10" s="201"/>
      <c r="U10" s="201"/>
      <c r="V10" s="201"/>
      <c r="W10" s="201"/>
      <c r="X10" s="202"/>
      <c r="Y10" s="665" t="s">
        <v>383</v>
      </c>
      <c r="Z10" s="119" t="s">
        <v>249</v>
      </c>
      <c r="AA10" s="119"/>
      <c r="AB10" s="137"/>
      <c r="AC10" s="665" t="s">
        <v>383</v>
      </c>
      <c r="AD10" s="119" t="s">
        <v>249</v>
      </c>
      <c r="AE10" s="119"/>
      <c r="AF10" s="137"/>
      <c r="AG10" s="109" t="str">
        <f>"ser_code = '" &amp; IF(A15="■",62,"") &amp; "'"</f>
        <v>ser_code = ''</v>
      </c>
      <c r="AI10" s="109" t="str">
        <f>"62:field223:" &amp; IF(I10="■",1,IF(M10="■",2,0))</f>
        <v>62:field223:0</v>
      </c>
      <c r="AJ10" s="109" t="str">
        <f>"62:field203:" &amp; IF(Y10="■",1,IF(Y11="■",2,0))</f>
        <v>62:field203:0</v>
      </c>
      <c r="AK10" s="109" t="str">
        <f>"62:waribiki_code:" &amp; IF(AC10="■",1,IF(AC11="■",2,0))</f>
        <v>62:waribiki_code:0</v>
      </c>
    </row>
    <row r="11" spans="1:38" s="109" customFormat="1" ht="19.5" customHeight="1" x14ac:dyDescent="0.2">
      <c r="A11" s="139"/>
      <c r="B11" s="670"/>
      <c r="C11" s="140"/>
      <c r="D11" s="141"/>
      <c r="E11" s="128"/>
      <c r="F11" s="142"/>
      <c r="G11" s="143"/>
      <c r="H11" s="348" t="s">
        <v>448</v>
      </c>
      <c r="I11" s="349" t="s">
        <v>383</v>
      </c>
      <c r="J11" s="350" t="s">
        <v>395</v>
      </c>
      <c r="K11" s="351"/>
      <c r="L11" s="352"/>
      <c r="M11" s="353" t="s">
        <v>383</v>
      </c>
      <c r="N11" s="350" t="s">
        <v>431</v>
      </c>
      <c r="O11" s="354"/>
      <c r="P11" s="350"/>
      <c r="Q11" s="355"/>
      <c r="R11" s="355"/>
      <c r="S11" s="355"/>
      <c r="T11" s="355"/>
      <c r="U11" s="355"/>
      <c r="V11" s="355"/>
      <c r="W11" s="355"/>
      <c r="X11" s="356"/>
      <c r="Y11" s="629" t="s">
        <v>383</v>
      </c>
      <c r="Z11" s="614" t="s">
        <v>255</v>
      </c>
      <c r="AA11" s="627"/>
      <c r="AB11" s="148"/>
      <c r="AC11" s="629" t="s">
        <v>383</v>
      </c>
      <c r="AD11" s="614" t="s">
        <v>255</v>
      </c>
      <c r="AE11" s="627"/>
      <c r="AF11" s="102"/>
      <c r="AI11" s="109" t="str">
        <f>"62:field232:" &amp; IF(I11="■",1,IF(M11="■",2,0))</f>
        <v>62:field232:0</v>
      </c>
    </row>
    <row r="12" spans="1:38" ht="18.75" customHeight="1" x14ac:dyDescent="0.2">
      <c r="A12" s="139"/>
      <c r="B12" s="670"/>
      <c r="C12" s="140"/>
      <c r="D12" s="141"/>
      <c r="E12" s="128"/>
      <c r="F12" s="142"/>
      <c r="G12" s="143"/>
      <c r="H12" s="641" t="s">
        <v>137</v>
      </c>
      <c r="I12" s="629" t="s">
        <v>781</v>
      </c>
      <c r="J12" s="169" t="s">
        <v>250</v>
      </c>
      <c r="K12" s="179"/>
      <c r="L12" s="629" t="s">
        <v>383</v>
      </c>
      <c r="M12" s="169" t="s">
        <v>267</v>
      </c>
      <c r="N12" s="169"/>
      <c r="O12" s="169"/>
      <c r="P12" s="169"/>
      <c r="Q12" s="169"/>
      <c r="R12" s="169"/>
      <c r="S12" s="169"/>
      <c r="T12" s="169"/>
      <c r="U12" s="169"/>
      <c r="V12" s="169"/>
      <c r="W12" s="169"/>
      <c r="X12" s="170"/>
      <c r="Y12" s="638"/>
      <c r="Z12" s="614"/>
      <c r="AA12" s="627"/>
      <c r="AB12" s="148"/>
      <c r="AC12" s="638"/>
      <c r="AD12" s="614"/>
      <c r="AE12" s="627"/>
      <c r="AF12" s="148"/>
      <c r="AG12" s="109"/>
      <c r="AI12" s="109" t="str">
        <f>"62:tokutiiki_code:" &amp; IF(I12="■",1,IF(L12="■",2,0))</f>
        <v>62:tokutiiki_code:1</v>
      </c>
    </row>
    <row r="13" spans="1:38" ht="18.75" customHeight="1" x14ac:dyDescent="0.2">
      <c r="A13" s="139"/>
      <c r="B13" s="670"/>
      <c r="C13" s="140"/>
      <c r="D13" s="141"/>
      <c r="E13" s="128"/>
      <c r="F13" s="142"/>
      <c r="G13" s="143"/>
      <c r="H13" s="694" t="s">
        <v>209</v>
      </c>
      <c r="I13" s="707" t="s">
        <v>781</v>
      </c>
      <c r="J13" s="708" t="s">
        <v>256</v>
      </c>
      <c r="K13" s="708"/>
      <c r="L13" s="708"/>
      <c r="M13" s="707" t="s">
        <v>383</v>
      </c>
      <c r="N13" s="708" t="s">
        <v>257</v>
      </c>
      <c r="O13" s="708"/>
      <c r="P13" s="708"/>
      <c r="Q13" s="181"/>
      <c r="R13" s="181"/>
      <c r="S13" s="181"/>
      <c r="T13" s="181"/>
      <c r="U13" s="181"/>
      <c r="V13" s="181"/>
      <c r="W13" s="181"/>
      <c r="X13" s="182"/>
      <c r="Y13" s="638"/>
      <c r="Z13" s="638"/>
      <c r="AA13" s="638"/>
      <c r="AB13" s="148"/>
      <c r="AC13" s="638"/>
      <c r="AD13" s="638"/>
      <c r="AE13" s="638"/>
      <c r="AF13" s="148"/>
      <c r="AG13" s="289"/>
      <c r="AI13" s="109" t="str">
        <f>"62:chuusankanti_tiiki_code:" &amp; IF(I13="■",1,IF(M13="■",2,0))</f>
        <v>62:chuusankanti_tiiki_code:1</v>
      </c>
    </row>
    <row r="14" spans="1:38" ht="18.75" customHeight="1" x14ac:dyDescent="0.2">
      <c r="A14" s="139"/>
      <c r="B14" s="670"/>
      <c r="C14" s="140"/>
      <c r="D14" s="141"/>
      <c r="E14" s="128"/>
      <c r="F14" s="142"/>
      <c r="G14" s="143"/>
      <c r="H14" s="693"/>
      <c r="I14" s="696"/>
      <c r="J14" s="698"/>
      <c r="K14" s="698"/>
      <c r="L14" s="698"/>
      <c r="M14" s="696"/>
      <c r="N14" s="698"/>
      <c r="O14" s="698"/>
      <c r="P14" s="698"/>
      <c r="Q14" s="152"/>
      <c r="R14" s="152"/>
      <c r="S14" s="152"/>
      <c r="T14" s="152"/>
      <c r="U14" s="152"/>
      <c r="V14" s="152"/>
      <c r="W14" s="152"/>
      <c r="X14" s="153"/>
      <c r="Y14" s="154"/>
      <c r="Z14" s="627"/>
      <c r="AA14" s="627"/>
      <c r="AB14" s="148"/>
      <c r="AC14" s="154"/>
      <c r="AD14" s="627"/>
      <c r="AE14" s="627"/>
      <c r="AF14" s="148"/>
      <c r="AG14" s="289"/>
      <c r="AI14" s="109"/>
    </row>
    <row r="15" spans="1:38" ht="18.75" customHeight="1" x14ac:dyDescent="0.2">
      <c r="A15" s="664" t="s">
        <v>383</v>
      </c>
      <c r="B15" s="670">
        <v>62</v>
      </c>
      <c r="C15" s="140" t="s">
        <v>67</v>
      </c>
      <c r="D15" s="141"/>
      <c r="E15" s="128"/>
      <c r="F15" s="142"/>
      <c r="G15" s="143"/>
      <c r="H15" s="694" t="s">
        <v>210</v>
      </c>
      <c r="I15" s="707" t="s">
        <v>781</v>
      </c>
      <c r="J15" s="708" t="s">
        <v>256</v>
      </c>
      <c r="K15" s="708"/>
      <c r="L15" s="708"/>
      <c r="M15" s="707" t="s">
        <v>383</v>
      </c>
      <c r="N15" s="708" t="s">
        <v>257</v>
      </c>
      <c r="O15" s="708"/>
      <c r="P15" s="708"/>
      <c r="Q15" s="181"/>
      <c r="R15" s="181"/>
      <c r="S15" s="181"/>
      <c r="T15" s="181"/>
      <c r="U15" s="181"/>
      <c r="V15" s="181"/>
      <c r="W15" s="181"/>
      <c r="X15" s="182"/>
      <c r="Y15" s="154"/>
      <c r="Z15" s="627"/>
      <c r="AA15" s="627"/>
      <c r="AB15" s="148"/>
      <c r="AC15" s="154"/>
      <c r="AD15" s="627"/>
      <c r="AE15" s="627"/>
      <c r="AF15" s="148"/>
      <c r="AI15" s="109" t="str">
        <f>"62:chuusankanti_kibo_code:" &amp; IF(I15="■",1,IF(M15="■",2,0))</f>
        <v>62:chuusankanti_kibo_code:1</v>
      </c>
    </row>
    <row r="16" spans="1:38" ht="18.75" customHeight="1" x14ac:dyDescent="0.2">
      <c r="A16" s="139"/>
      <c r="B16" s="670"/>
      <c r="C16" s="140"/>
      <c r="D16" s="141"/>
      <c r="E16" s="128"/>
      <c r="F16" s="142"/>
      <c r="G16" s="143"/>
      <c r="H16" s="693"/>
      <c r="I16" s="696"/>
      <c r="J16" s="698"/>
      <c r="K16" s="698"/>
      <c r="L16" s="698"/>
      <c r="M16" s="696"/>
      <c r="N16" s="698"/>
      <c r="O16" s="698"/>
      <c r="P16" s="698"/>
      <c r="Q16" s="152"/>
      <c r="R16" s="152"/>
      <c r="S16" s="152"/>
      <c r="T16" s="152"/>
      <c r="U16" s="152"/>
      <c r="V16" s="152"/>
      <c r="W16" s="152"/>
      <c r="X16" s="153"/>
      <c r="Y16" s="154"/>
      <c r="Z16" s="627"/>
      <c r="AA16" s="627"/>
      <c r="AB16" s="148"/>
      <c r="AC16" s="154"/>
      <c r="AD16" s="627"/>
      <c r="AE16" s="627"/>
      <c r="AF16" s="148"/>
    </row>
    <row r="17" spans="1:36" ht="18.75" customHeight="1" x14ac:dyDescent="0.2">
      <c r="A17" s="139"/>
      <c r="B17" s="670"/>
      <c r="C17" s="140"/>
      <c r="D17" s="141"/>
      <c r="E17" s="128"/>
      <c r="F17" s="142"/>
      <c r="G17" s="143"/>
      <c r="H17" s="204" t="s">
        <v>116</v>
      </c>
      <c r="I17" s="290" t="s">
        <v>383</v>
      </c>
      <c r="J17" s="157" t="s">
        <v>250</v>
      </c>
      <c r="K17" s="157"/>
      <c r="L17" s="160" t="s">
        <v>383</v>
      </c>
      <c r="M17" s="157" t="s">
        <v>251</v>
      </c>
      <c r="N17" s="157"/>
      <c r="O17" s="160" t="s">
        <v>383</v>
      </c>
      <c r="P17" s="157" t="s">
        <v>252</v>
      </c>
      <c r="Q17" s="162"/>
      <c r="R17" s="158"/>
      <c r="S17" s="158"/>
      <c r="T17" s="158"/>
      <c r="U17" s="158"/>
      <c r="V17" s="158"/>
      <c r="W17" s="158"/>
      <c r="X17" s="166"/>
      <c r="Y17" s="154"/>
      <c r="Z17" s="627"/>
      <c r="AA17" s="627"/>
      <c r="AB17" s="148"/>
      <c r="AC17" s="154"/>
      <c r="AD17" s="627"/>
      <c r="AE17" s="627"/>
      <c r="AF17" s="148"/>
      <c r="AI17" s="109" t="str">
        <f>"62:ninti_senmoncare_code:" &amp; IF(I17="■",1,IF(O17="■",3,IF(L17="■",2,0)))</f>
        <v>62:ninti_senmoncare_code:0</v>
      </c>
    </row>
    <row r="18" spans="1:36" ht="18.75" customHeight="1" x14ac:dyDescent="0.2">
      <c r="A18" s="139"/>
      <c r="B18" s="670"/>
      <c r="C18" s="140"/>
      <c r="D18" s="141"/>
      <c r="E18" s="128"/>
      <c r="F18" s="142"/>
      <c r="G18" s="143"/>
      <c r="H18" s="667" t="s">
        <v>118</v>
      </c>
      <c r="I18" s="156" t="s">
        <v>383</v>
      </c>
      <c r="J18" s="157" t="s">
        <v>250</v>
      </c>
      <c r="K18" s="169"/>
      <c r="L18" s="160" t="s">
        <v>383</v>
      </c>
      <c r="M18" s="157" t="s">
        <v>263</v>
      </c>
      <c r="N18" s="157"/>
      <c r="O18" s="160" t="s">
        <v>383</v>
      </c>
      <c r="P18" s="157" t="s">
        <v>252</v>
      </c>
      <c r="Q18" s="157"/>
      <c r="R18" s="160" t="s">
        <v>383</v>
      </c>
      <c r="S18" s="169" t="s">
        <v>264</v>
      </c>
      <c r="T18" s="169"/>
      <c r="U18" s="157"/>
      <c r="V18" s="157"/>
      <c r="W18" s="157"/>
      <c r="X18" s="165"/>
      <c r="Y18" s="154"/>
      <c r="Z18" s="627"/>
      <c r="AA18" s="627"/>
      <c r="AB18" s="148"/>
      <c r="AC18" s="154"/>
      <c r="AD18" s="627"/>
      <c r="AE18" s="627"/>
      <c r="AF18" s="148"/>
      <c r="AI18" s="109" t="str">
        <f>"62:serteikyo_kyoka_code:" &amp; IF(I18="■",1,IF(L18="■",4,IF(O18="■",3,IF(R18="■",5,0))))</f>
        <v>62:serteikyo_kyoka_code:0</v>
      </c>
    </row>
    <row r="19" spans="1:36" s="621" customFormat="1" ht="18.75" customHeight="1" x14ac:dyDescent="0.2">
      <c r="A19" s="139"/>
      <c r="B19" s="670"/>
      <c r="C19" s="140"/>
      <c r="D19" s="141"/>
      <c r="E19" s="128"/>
      <c r="F19" s="142"/>
      <c r="G19" s="143"/>
      <c r="H19" s="713" t="s">
        <v>790</v>
      </c>
      <c r="I19" s="642" t="s">
        <v>383</v>
      </c>
      <c r="J19" s="616" t="s">
        <v>627</v>
      </c>
      <c r="K19" s="616"/>
      <c r="L19" s="615"/>
      <c r="M19" s="644" t="s">
        <v>383</v>
      </c>
      <c r="N19" s="616" t="s">
        <v>791</v>
      </c>
      <c r="O19" s="617"/>
      <c r="P19" s="615"/>
      <c r="Q19" s="644" t="s">
        <v>383</v>
      </c>
      <c r="R19" s="987" t="s">
        <v>792</v>
      </c>
      <c r="S19" s="615"/>
      <c r="T19" s="615"/>
      <c r="U19" s="615"/>
      <c r="V19" s="987"/>
      <c r="W19" s="619"/>
      <c r="X19" s="620"/>
      <c r="Y19" s="154"/>
      <c r="Z19" s="627"/>
      <c r="AA19" s="627"/>
      <c r="AB19" s="148"/>
      <c r="AC19" s="154"/>
      <c r="AD19" s="627"/>
      <c r="AE19" s="627"/>
      <c r="AF19" s="148"/>
    </row>
    <row r="20" spans="1:36" s="621" customFormat="1" ht="18.75" customHeight="1" x14ac:dyDescent="0.2">
      <c r="A20" s="183"/>
      <c r="B20" s="658"/>
      <c r="C20" s="185"/>
      <c r="D20" s="186"/>
      <c r="E20" s="187"/>
      <c r="F20" s="188"/>
      <c r="G20" s="189"/>
      <c r="H20" s="714"/>
      <c r="I20" s="277" t="s">
        <v>383</v>
      </c>
      <c r="J20" s="623" t="s">
        <v>793</v>
      </c>
      <c r="K20" s="623"/>
      <c r="L20" s="622"/>
      <c r="M20" s="211" t="s">
        <v>383</v>
      </c>
      <c r="N20" s="623" t="s">
        <v>794</v>
      </c>
      <c r="O20" s="624"/>
      <c r="P20" s="622"/>
      <c r="Q20" s="211" t="s">
        <v>383</v>
      </c>
      <c r="R20" s="623" t="s">
        <v>795</v>
      </c>
      <c r="S20" s="622"/>
      <c r="T20" s="623"/>
      <c r="U20" s="211" t="s">
        <v>383</v>
      </c>
      <c r="V20" s="623" t="s">
        <v>796</v>
      </c>
      <c r="W20" s="625"/>
      <c r="X20" s="626"/>
      <c r="Y20" s="194"/>
      <c r="Z20" s="192"/>
      <c r="AA20" s="192"/>
      <c r="AB20" s="193"/>
      <c r="AC20" s="194"/>
      <c r="AD20" s="192"/>
      <c r="AE20" s="192"/>
      <c r="AF20" s="193"/>
    </row>
    <row r="21" spans="1:36" ht="19.5" customHeight="1" x14ac:dyDescent="0.2">
      <c r="A21" s="129"/>
      <c r="B21" s="656"/>
      <c r="C21" s="130"/>
      <c r="D21" s="131"/>
      <c r="E21" s="121"/>
      <c r="F21" s="132"/>
      <c r="G21" s="133"/>
      <c r="H21" s="262" t="s">
        <v>430</v>
      </c>
      <c r="I21" s="196" t="s">
        <v>383</v>
      </c>
      <c r="J21" s="197" t="s">
        <v>395</v>
      </c>
      <c r="K21" s="198"/>
      <c r="L21" s="199"/>
      <c r="M21" s="200" t="s">
        <v>383</v>
      </c>
      <c r="N21" s="197" t="s">
        <v>431</v>
      </c>
      <c r="O21" s="197"/>
      <c r="P21" s="197"/>
      <c r="Q21" s="201"/>
      <c r="R21" s="201"/>
      <c r="S21" s="201"/>
      <c r="T21" s="201"/>
      <c r="U21" s="201"/>
      <c r="V21" s="201"/>
      <c r="W21" s="201"/>
      <c r="X21" s="202"/>
      <c r="Y21" s="665" t="s">
        <v>383</v>
      </c>
      <c r="Z21" s="119" t="s">
        <v>249</v>
      </c>
      <c r="AA21" s="119"/>
      <c r="AB21" s="137"/>
      <c r="AC21" s="675"/>
      <c r="AD21" s="676"/>
      <c r="AE21" s="676"/>
      <c r="AF21" s="677"/>
      <c r="AG21" s="109" t="str">
        <f>"ser_code = '" &amp; IF(A27="■",63,"") &amp; "'"</f>
        <v>ser_code = ''</v>
      </c>
      <c r="AI21" s="109" t="str">
        <f>"63:field223:" &amp; IF(I21="■",1,IF(M21="■",2,0))</f>
        <v>63:field223:0</v>
      </c>
      <c r="AJ21" s="109" t="str">
        <f>"63:field203:" &amp; IF(Y21="■",1,IF(Y22="■",2,0))</f>
        <v>63:field203:0</v>
      </c>
    </row>
    <row r="22" spans="1:36" s="109" customFormat="1" ht="19.5" customHeight="1" x14ac:dyDescent="0.2">
      <c r="A22" s="139"/>
      <c r="B22" s="670"/>
      <c r="C22" s="140"/>
      <c r="D22" s="141"/>
      <c r="E22" s="128"/>
      <c r="F22" s="142"/>
      <c r="G22" s="143"/>
      <c r="H22" s="348" t="s">
        <v>448</v>
      </c>
      <c r="I22" s="349" t="s">
        <v>383</v>
      </c>
      <c r="J22" s="350" t="s">
        <v>395</v>
      </c>
      <c r="K22" s="351"/>
      <c r="L22" s="352"/>
      <c r="M22" s="353" t="s">
        <v>383</v>
      </c>
      <c r="N22" s="350" t="s">
        <v>431</v>
      </c>
      <c r="O22" s="354"/>
      <c r="P22" s="350"/>
      <c r="Q22" s="355"/>
      <c r="R22" s="355"/>
      <c r="S22" s="355"/>
      <c r="T22" s="355"/>
      <c r="U22" s="355"/>
      <c r="V22" s="355"/>
      <c r="W22" s="355"/>
      <c r="X22" s="356"/>
      <c r="Y22" s="629" t="s">
        <v>383</v>
      </c>
      <c r="Z22" s="614" t="s">
        <v>255</v>
      </c>
      <c r="AA22" s="627"/>
      <c r="AB22" s="148"/>
      <c r="AC22" s="678"/>
      <c r="AD22" s="679"/>
      <c r="AE22" s="679"/>
      <c r="AF22" s="680"/>
      <c r="AG22" s="109" t="str">
        <f>"63:sisetukbn_code:" &amp; IF(D27="■",1,IF(D28="■",2,0))</f>
        <v>63:sisetukbn_code:0</v>
      </c>
      <c r="AI22" s="109" t="str">
        <f>"63:field232:" &amp; IF(I22="■",1,IF(M22="■",2,0))</f>
        <v>63:field232:0</v>
      </c>
    </row>
    <row r="23" spans="1:36" ht="18.75" customHeight="1" x14ac:dyDescent="0.2">
      <c r="A23" s="139"/>
      <c r="B23" s="670"/>
      <c r="C23" s="140"/>
      <c r="D23" s="141"/>
      <c r="E23" s="128"/>
      <c r="F23" s="142"/>
      <c r="G23" s="143"/>
      <c r="H23" s="650" t="s">
        <v>137</v>
      </c>
      <c r="I23" s="996" t="s">
        <v>781</v>
      </c>
      <c r="J23" s="381" t="s">
        <v>250</v>
      </c>
      <c r="K23" s="419"/>
      <c r="L23" s="996" t="s">
        <v>383</v>
      </c>
      <c r="M23" s="381" t="s">
        <v>267</v>
      </c>
      <c r="N23" s="381"/>
      <c r="O23" s="381"/>
      <c r="P23" s="381"/>
      <c r="Q23" s="436"/>
      <c r="R23" s="436"/>
      <c r="S23" s="436"/>
      <c r="T23" s="436"/>
      <c r="U23" s="436"/>
      <c r="V23" s="436"/>
      <c r="W23" s="436"/>
      <c r="X23" s="437"/>
      <c r="Y23" s="638"/>
      <c r="Z23" s="614"/>
      <c r="AA23" s="627"/>
      <c r="AB23" s="148"/>
      <c r="AC23" s="678"/>
      <c r="AD23" s="679"/>
      <c r="AE23" s="679"/>
      <c r="AF23" s="680"/>
      <c r="AG23" s="109"/>
      <c r="AI23" s="109" t="str">
        <f>"63:tokutiiki_code:" &amp; IF(I23="■",1,IF(L23="■",2,0))</f>
        <v>63:tokutiiki_code:1</v>
      </c>
    </row>
    <row r="24" spans="1:36" ht="18.75" customHeight="1" x14ac:dyDescent="0.2">
      <c r="A24" s="139"/>
      <c r="B24" s="670"/>
      <c r="C24" s="140"/>
      <c r="D24" s="141"/>
      <c r="E24" s="128"/>
      <c r="F24" s="142"/>
      <c r="G24" s="143"/>
      <c r="H24" s="743" t="s">
        <v>209</v>
      </c>
      <c r="I24" s="797" t="s">
        <v>781</v>
      </c>
      <c r="J24" s="796" t="s">
        <v>256</v>
      </c>
      <c r="K24" s="796"/>
      <c r="L24" s="796"/>
      <c r="M24" s="797" t="s">
        <v>383</v>
      </c>
      <c r="N24" s="796" t="s">
        <v>257</v>
      </c>
      <c r="O24" s="796"/>
      <c r="P24" s="796"/>
      <c r="Q24" s="438"/>
      <c r="R24" s="438"/>
      <c r="S24" s="438"/>
      <c r="T24" s="438"/>
      <c r="U24" s="438"/>
      <c r="V24" s="438"/>
      <c r="W24" s="438"/>
      <c r="X24" s="507"/>
      <c r="Y24" s="638"/>
      <c r="Z24" s="638"/>
      <c r="AA24" s="638"/>
      <c r="AB24" s="148"/>
      <c r="AC24" s="678"/>
      <c r="AD24" s="679"/>
      <c r="AE24" s="679"/>
      <c r="AF24" s="680"/>
      <c r="AI24" s="109" t="str">
        <f>"63:chuusankanti_tiiki_code:" &amp; IF(I24="■",1,IF(M24="■",2,0))</f>
        <v>63:chuusankanti_tiiki_code:1</v>
      </c>
    </row>
    <row r="25" spans="1:36" ht="18.75" customHeight="1" x14ac:dyDescent="0.2">
      <c r="A25" s="139"/>
      <c r="B25" s="670"/>
      <c r="C25" s="140"/>
      <c r="D25" s="141"/>
      <c r="E25" s="128"/>
      <c r="F25" s="142"/>
      <c r="G25" s="143"/>
      <c r="H25" s="744"/>
      <c r="I25" s="793"/>
      <c r="J25" s="795"/>
      <c r="K25" s="795"/>
      <c r="L25" s="795"/>
      <c r="M25" s="793"/>
      <c r="N25" s="795"/>
      <c r="O25" s="795"/>
      <c r="P25" s="795"/>
      <c r="Q25" s="436"/>
      <c r="R25" s="436"/>
      <c r="S25" s="436"/>
      <c r="T25" s="436"/>
      <c r="U25" s="436"/>
      <c r="V25" s="436"/>
      <c r="W25" s="436"/>
      <c r="X25" s="437"/>
      <c r="Y25" s="154"/>
      <c r="Z25" s="627"/>
      <c r="AA25" s="627"/>
      <c r="AB25" s="148"/>
      <c r="AC25" s="678"/>
      <c r="AD25" s="679"/>
      <c r="AE25" s="679"/>
      <c r="AF25" s="680"/>
      <c r="AG25" s="289"/>
      <c r="AI25" s="109"/>
    </row>
    <row r="26" spans="1:36" ht="18.75" customHeight="1" x14ac:dyDescent="0.2">
      <c r="A26" s="139"/>
      <c r="B26" s="670"/>
      <c r="C26" s="140"/>
      <c r="D26" s="141"/>
      <c r="E26" s="128"/>
      <c r="F26" s="142"/>
      <c r="G26" s="143"/>
      <c r="H26" s="743" t="s">
        <v>210</v>
      </c>
      <c r="I26" s="797" t="s">
        <v>781</v>
      </c>
      <c r="J26" s="796" t="s">
        <v>256</v>
      </c>
      <c r="K26" s="796"/>
      <c r="L26" s="796"/>
      <c r="M26" s="797" t="s">
        <v>383</v>
      </c>
      <c r="N26" s="796" t="s">
        <v>257</v>
      </c>
      <c r="O26" s="796"/>
      <c r="P26" s="796"/>
      <c r="Q26" s="438"/>
      <c r="R26" s="438"/>
      <c r="S26" s="438"/>
      <c r="T26" s="438"/>
      <c r="U26" s="438"/>
      <c r="V26" s="438"/>
      <c r="W26" s="438"/>
      <c r="X26" s="507"/>
      <c r="Y26" s="154"/>
      <c r="Z26" s="627"/>
      <c r="AA26" s="627"/>
      <c r="AB26" s="148"/>
      <c r="AC26" s="678"/>
      <c r="AD26" s="679"/>
      <c r="AE26" s="679"/>
      <c r="AF26" s="680"/>
      <c r="AG26" s="289"/>
      <c r="AI26" s="109" t="str">
        <f>"63:chuusankanti_kibo_code:" &amp; IF(I26="■",1,IF(M26="■",2,0))</f>
        <v>63:chuusankanti_kibo_code:1</v>
      </c>
    </row>
    <row r="27" spans="1:36" ht="18.75" customHeight="1" x14ac:dyDescent="0.2">
      <c r="A27" s="664" t="s">
        <v>383</v>
      </c>
      <c r="B27" s="670">
        <v>63</v>
      </c>
      <c r="C27" s="140" t="s">
        <v>474</v>
      </c>
      <c r="D27" s="629" t="s">
        <v>383</v>
      </c>
      <c r="E27" s="128" t="s">
        <v>276</v>
      </c>
      <c r="F27" s="142"/>
      <c r="G27" s="143"/>
      <c r="H27" s="744"/>
      <c r="I27" s="793"/>
      <c r="J27" s="795"/>
      <c r="K27" s="795"/>
      <c r="L27" s="795"/>
      <c r="M27" s="793"/>
      <c r="N27" s="795"/>
      <c r="O27" s="795"/>
      <c r="P27" s="795"/>
      <c r="Q27" s="436"/>
      <c r="R27" s="436"/>
      <c r="S27" s="436"/>
      <c r="T27" s="436"/>
      <c r="U27" s="436"/>
      <c r="V27" s="436"/>
      <c r="W27" s="436"/>
      <c r="X27" s="437"/>
      <c r="Y27" s="154"/>
      <c r="Z27" s="627"/>
      <c r="AA27" s="627"/>
      <c r="AB27" s="148"/>
      <c r="AC27" s="678"/>
      <c r="AD27" s="679"/>
      <c r="AE27" s="679"/>
      <c r="AF27" s="680"/>
    </row>
    <row r="28" spans="1:36" ht="18.75" customHeight="1" x14ac:dyDescent="0.2">
      <c r="A28" s="139"/>
      <c r="B28" s="670"/>
      <c r="C28" s="140"/>
      <c r="D28" s="629" t="s">
        <v>383</v>
      </c>
      <c r="E28" s="128" t="s">
        <v>274</v>
      </c>
      <c r="F28" s="142"/>
      <c r="G28" s="143"/>
      <c r="H28" s="672" t="s">
        <v>475</v>
      </c>
      <c r="I28" s="654" t="s">
        <v>383</v>
      </c>
      <c r="J28" s="350" t="s">
        <v>250</v>
      </c>
      <c r="K28" s="351"/>
      <c r="L28" s="353" t="s">
        <v>383</v>
      </c>
      <c r="M28" s="350" t="s">
        <v>268</v>
      </c>
      <c r="N28" s="350"/>
      <c r="O28" s="673" t="s">
        <v>383</v>
      </c>
      <c r="P28" s="375" t="s">
        <v>269</v>
      </c>
      <c r="Q28" s="355"/>
      <c r="R28" s="355"/>
      <c r="S28" s="355"/>
      <c r="T28" s="350"/>
      <c r="U28" s="355"/>
      <c r="V28" s="355"/>
      <c r="W28" s="355"/>
      <c r="X28" s="356"/>
      <c r="Y28" s="154"/>
      <c r="Z28" s="627"/>
      <c r="AA28" s="627"/>
      <c r="AB28" s="148"/>
      <c r="AC28" s="678"/>
      <c r="AD28" s="679"/>
      <c r="AE28" s="679"/>
      <c r="AF28" s="680"/>
      <c r="AI28" s="109" t="str">
        <f>"63:kinkyu_code:"&amp;IF(I28="■",1,IF(O28="■",3,IF(L28="■",2,0)))</f>
        <v>63:kinkyu_code:0</v>
      </c>
    </row>
    <row r="29" spans="1:36" ht="18.75" customHeight="1" x14ac:dyDescent="0.2">
      <c r="A29" s="139"/>
      <c r="B29" s="670"/>
      <c r="C29" s="140"/>
      <c r="D29" s="139"/>
      <c r="E29" s="128"/>
      <c r="F29" s="142"/>
      <c r="G29" s="143"/>
      <c r="H29" s="672" t="s">
        <v>476</v>
      </c>
      <c r="I29" s="349" t="s">
        <v>383</v>
      </c>
      <c r="J29" s="350" t="s">
        <v>265</v>
      </c>
      <c r="K29" s="351"/>
      <c r="L29" s="352"/>
      <c r="M29" s="996" t="s">
        <v>383</v>
      </c>
      <c r="N29" s="350" t="s">
        <v>266</v>
      </c>
      <c r="O29" s="355"/>
      <c r="P29" s="355"/>
      <c r="Q29" s="355"/>
      <c r="R29" s="355"/>
      <c r="S29" s="355"/>
      <c r="T29" s="355"/>
      <c r="U29" s="355"/>
      <c r="V29" s="355"/>
      <c r="W29" s="355"/>
      <c r="X29" s="356"/>
      <c r="Y29" s="154"/>
      <c r="Z29" s="627"/>
      <c r="AA29" s="627"/>
      <c r="AB29" s="148"/>
      <c r="AC29" s="678"/>
      <c r="AD29" s="679"/>
      <c r="AE29" s="679"/>
      <c r="AF29" s="680"/>
      <c r="AI29" s="109" t="str">
        <f>"63:tokukanri_code:" &amp; IF(I29="■",1,IF(M29="■",2,0))</f>
        <v>63:tokukanri_code:0</v>
      </c>
    </row>
    <row r="30" spans="1:36" ht="18.75" customHeight="1" x14ac:dyDescent="0.2">
      <c r="A30" s="139"/>
      <c r="B30" s="670"/>
      <c r="C30" s="140"/>
      <c r="D30" s="141"/>
      <c r="E30" s="128"/>
      <c r="F30" s="142"/>
      <c r="G30" s="143"/>
      <c r="H30" s="461" t="s">
        <v>436</v>
      </c>
      <c r="I30" s="654" t="s">
        <v>383</v>
      </c>
      <c r="J30" s="350" t="s">
        <v>250</v>
      </c>
      <c r="K30" s="351"/>
      <c r="L30" s="353" t="s">
        <v>383</v>
      </c>
      <c r="M30" s="350" t="s">
        <v>267</v>
      </c>
      <c r="N30" s="350"/>
      <c r="O30" s="666"/>
      <c r="P30" s="666"/>
      <c r="Q30" s="666"/>
      <c r="R30" s="666"/>
      <c r="S30" s="666"/>
      <c r="T30" s="666"/>
      <c r="U30" s="666"/>
      <c r="V30" s="666"/>
      <c r="W30" s="666"/>
      <c r="X30" s="440"/>
      <c r="Y30" s="154"/>
      <c r="Z30" s="627"/>
      <c r="AA30" s="627"/>
      <c r="AB30" s="148"/>
      <c r="AC30" s="678"/>
      <c r="AD30" s="679"/>
      <c r="AE30" s="679"/>
      <c r="AF30" s="680"/>
      <c r="AI30" s="109" t="str">
        <f>"63:field230:" &amp; IF(I30="■",1,IF(L30="■",2,0))</f>
        <v>63:field230:0</v>
      </c>
    </row>
    <row r="31" spans="1:36" ht="18.75" customHeight="1" x14ac:dyDescent="0.2">
      <c r="A31" s="139"/>
      <c r="B31" s="670"/>
      <c r="C31" s="140"/>
      <c r="D31" s="141"/>
      <c r="E31" s="128"/>
      <c r="F31" s="142"/>
      <c r="G31" s="143"/>
      <c r="H31" s="508" t="s">
        <v>477</v>
      </c>
      <c r="I31" s="349" t="s">
        <v>383</v>
      </c>
      <c r="J31" s="350" t="s">
        <v>250</v>
      </c>
      <c r="K31" s="351"/>
      <c r="L31" s="996" t="s">
        <v>383</v>
      </c>
      <c r="M31" s="350" t="s">
        <v>267</v>
      </c>
      <c r="N31" s="350"/>
      <c r="O31" s="350"/>
      <c r="P31" s="350"/>
      <c r="Q31" s="350"/>
      <c r="R31" s="350"/>
      <c r="S31" s="350"/>
      <c r="T31" s="350"/>
      <c r="U31" s="350"/>
      <c r="V31" s="350"/>
      <c r="W31" s="350"/>
      <c r="X31" s="459"/>
      <c r="Y31" s="154"/>
      <c r="Z31" s="627"/>
      <c r="AA31" s="627"/>
      <c r="AB31" s="148"/>
      <c r="AC31" s="678"/>
      <c r="AD31" s="679"/>
      <c r="AE31" s="679"/>
      <c r="AF31" s="680"/>
      <c r="AI31" s="109" t="str">
        <f>"63:field169:" &amp; IF(I31="■",1,IF(L31="■",2,0))</f>
        <v>63:field169:0</v>
      </c>
    </row>
    <row r="32" spans="1:36" ht="19.5" customHeight="1" x14ac:dyDescent="0.2">
      <c r="A32" s="139"/>
      <c r="B32" s="670"/>
      <c r="C32" s="140"/>
      <c r="D32" s="141"/>
      <c r="E32" s="128"/>
      <c r="F32" s="142"/>
      <c r="G32" s="143"/>
      <c r="H32" s="348" t="s">
        <v>433</v>
      </c>
      <c r="I32" s="349" t="s">
        <v>383</v>
      </c>
      <c r="J32" s="350" t="s">
        <v>250</v>
      </c>
      <c r="K32" s="350"/>
      <c r="L32" s="353" t="s">
        <v>383</v>
      </c>
      <c r="M32" s="350" t="s">
        <v>267</v>
      </c>
      <c r="N32" s="350"/>
      <c r="O32" s="355"/>
      <c r="P32" s="350"/>
      <c r="Q32" s="355"/>
      <c r="R32" s="355"/>
      <c r="S32" s="355"/>
      <c r="T32" s="355"/>
      <c r="U32" s="355"/>
      <c r="V32" s="355"/>
      <c r="W32" s="355"/>
      <c r="X32" s="356"/>
      <c r="Y32" s="627"/>
      <c r="Z32" s="627"/>
      <c r="AA32" s="627"/>
      <c r="AB32" s="148"/>
      <c r="AC32" s="678"/>
      <c r="AD32" s="679"/>
      <c r="AE32" s="679"/>
      <c r="AF32" s="680"/>
      <c r="AI32" s="109" t="str">
        <f>"63:field224:" &amp; IF(I32="■",1,IF(L32="■",2,0))</f>
        <v>63:field224:0</v>
      </c>
    </row>
    <row r="33" spans="1:36" ht="18.75" customHeight="1" x14ac:dyDescent="0.2">
      <c r="A33" s="139"/>
      <c r="B33" s="670"/>
      <c r="C33" s="140"/>
      <c r="D33" s="141"/>
      <c r="E33" s="128"/>
      <c r="F33" s="142"/>
      <c r="G33" s="143"/>
      <c r="H33" s="988" t="s">
        <v>118</v>
      </c>
      <c r="I33" s="989" t="s">
        <v>383</v>
      </c>
      <c r="J33" s="990" t="s">
        <v>250</v>
      </c>
      <c r="K33" s="990"/>
      <c r="L33" s="991" t="s">
        <v>383</v>
      </c>
      <c r="M33" s="990" t="s">
        <v>268</v>
      </c>
      <c r="N33" s="990"/>
      <c r="O33" s="991" t="s">
        <v>383</v>
      </c>
      <c r="P33" s="990" t="s">
        <v>277</v>
      </c>
      <c r="Q33" s="992"/>
      <c r="R33" s="993"/>
      <c r="S33" s="993"/>
      <c r="T33" s="993"/>
      <c r="U33" s="993"/>
      <c r="V33" s="993"/>
      <c r="W33" s="993"/>
      <c r="X33" s="994"/>
      <c r="Y33" s="627"/>
      <c r="Z33" s="627"/>
      <c r="AA33" s="627"/>
      <c r="AB33" s="148"/>
      <c r="AC33" s="678"/>
      <c r="AD33" s="679"/>
      <c r="AE33" s="679"/>
      <c r="AF33" s="680"/>
      <c r="AI33" s="109" t="str">
        <f>"63:serteikyo_kyoka_code:"&amp;IF(I33="■",1,IF(L33="■",3,IF(O33="■",4,0)))</f>
        <v>63:serteikyo_kyoka_code:0</v>
      </c>
    </row>
    <row r="34" spans="1:36" s="621" customFormat="1" ht="18.75" customHeight="1" x14ac:dyDescent="0.2">
      <c r="A34" s="183"/>
      <c r="B34" s="658"/>
      <c r="C34" s="185"/>
      <c r="D34" s="186"/>
      <c r="E34" s="187"/>
      <c r="F34" s="188"/>
      <c r="G34" s="189"/>
      <c r="H34" s="640" t="s">
        <v>790</v>
      </c>
      <c r="I34" s="211" t="s">
        <v>383</v>
      </c>
      <c r="J34" s="623" t="s">
        <v>627</v>
      </c>
      <c r="K34" s="623"/>
      <c r="L34" s="211" t="s">
        <v>383</v>
      </c>
      <c r="M34" s="623" t="s">
        <v>635</v>
      </c>
      <c r="N34" s="625"/>
      <c r="O34" s="630"/>
      <c r="P34" s="630"/>
      <c r="Q34" s="625"/>
      <c r="R34" s="625"/>
      <c r="S34" s="625"/>
      <c r="T34" s="625"/>
      <c r="U34" s="625"/>
      <c r="V34" s="625"/>
      <c r="W34" s="625"/>
      <c r="X34" s="626"/>
      <c r="Y34" s="192"/>
      <c r="Z34" s="192"/>
      <c r="AA34" s="192"/>
      <c r="AB34" s="193"/>
      <c r="AC34" s="722"/>
      <c r="AD34" s="723"/>
      <c r="AE34" s="723"/>
      <c r="AF34" s="724"/>
    </row>
    <row r="35" spans="1:36" ht="19.5" customHeight="1" x14ac:dyDescent="0.2">
      <c r="A35" s="129"/>
      <c r="B35" s="656"/>
      <c r="C35" s="130"/>
      <c r="D35" s="131"/>
      <c r="E35" s="121"/>
      <c r="F35" s="132"/>
      <c r="G35" s="133"/>
      <c r="H35" s="995" t="s">
        <v>430</v>
      </c>
      <c r="I35" s="651" t="s">
        <v>383</v>
      </c>
      <c r="J35" s="381" t="s">
        <v>395</v>
      </c>
      <c r="K35" s="419"/>
      <c r="L35" s="382"/>
      <c r="M35" s="652" t="s">
        <v>383</v>
      </c>
      <c r="N35" s="381" t="s">
        <v>431</v>
      </c>
      <c r="O35" s="381"/>
      <c r="P35" s="381"/>
      <c r="Q35" s="436"/>
      <c r="R35" s="436"/>
      <c r="S35" s="436"/>
      <c r="T35" s="436"/>
      <c r="U35" s="436"/>
      <c r="V35" s="436"/>
      <c r="W35" s="436"/>
      <c r="X35" s="437"/>
      <c r="Y35" s="118" t="s">
        <v>383</v>
      </c>
      <c r="Z35" s="126" t="s">
        <v>249</v>
      </c>
      <c r="AA35" s="126"/>
      <c r="AB35" s="148"/>
      <c r="AC35" s="675"/>
      <c r="AD35" s="676"/>
      <c r="AE35" s="676"/>
      <c r="AF35" s="677"/>
      <c r="AG35" s="109" t="str">
        <f>"ser_code = '" &amp; IF(A39="■",64,"") &amp; "'"</f>
        <v>ser_code = ''</v>
      </c>
      <c r="AH35" s="109"/>
      <c r="AI35" s="109" t="str">
        <f>"64:field223:" &amp; IF(I35="■",1,IF(M35="■",2,0))</f>
        <v>64:field223:0</v>
      </c>
      <c r="AJ35" s="109" t="str">
        <f>"64:field203:" &amp; IF(Y35="■",1,IF(Y36="■",2,0))</f>
        <v>64:field203:0</v>
      </c>
    </row>
    <row r="36" spans="1:36" s="109" customFormat="1" ht="19.5" customHeight="1" x14ac:dyDescent="0.2">
      <c r="A36" s="139"/>
      <c r="B36" s="670"/>
      <c r="C36" s="140"/>
      <c r="D36" s="141"/>
      <c r="E36" s="128"/>
      <c r="F36" s="142"/>
      <c r="G36" s="143"/>
      <c r="H36" s="348" t="s">
        <v>448</v>
      </c>
      <c r="I36" s="349" t="s">
        <v>383</v>
      </c>
      <c r="J36" s="350" t="s">
        <v>395</v>
      </c>
      <c r="K36" s="351"/>
      <c r="L36" s="352"/>
      <c r="M36" s="353" t="s">
        <v>383</v>
      </c>
      <c r="N36" s="350" t="s">
        <v>431</v>
      </c>
      <c r="O36" s="354"/>
      <c r="P36" s="350"/>
      <c r="Q36" s="355"/>
      <c r="R36" s="355"/>
      <c r="S36" s="355"/>
      <c r="T36" s="355"/>
      <c r="U36" s="355"/>
      <c r="V36" s="355"/>
      <c r="W36" s="355"/>
      <c r="X36" s="356"/>
      <c r="Y36" s="118" t="s">
        <v>383</v>
      </c>
      <c r="Z36" s="126" t="s">
        <v>255</v>
      </c>
      <c r="AA36" s="147"/>
      <c r="AB36" s="148"/>
      <c r="AC36" s="678"/>
      <c r="AD36" s="679"/>
      <c r="AE36" s="679"/>
      <c r="AF36" s="680"/>
      <c r="AG36" s="109" t="str">
        <f>"64:sisetukbn_code:" &amp; IF(D38="■",1,IF(D39="■",2,IF(D40="■",3,0)))</f>
        <v>64:sisetukbn_code:0</v>
      </c>
      <c r="AI36" s="109" t="str">
        <f>"64:field232:" &amp; IF(I36="■",1,IF(M36="■",2,0))</f>
        <v>64:field232:0</v>
      </c>
    </row>
    <row r="37" spans="1:36" ht="18.75" customHeight="1" x14ac:dyDescent="0.2">
      <c r="A37" s="139"/>
      <c r="B37" s="670"/>
      <c r="C37" s="660"/>
      <c r="D37" s="142"/>
      <c r="E37" s="128"/>
      <c r="F37" s="142"/>
      <c r="G37" s="143"/>
      <c r="H37" s="149" t="s">
        <v>137</v>
      </c>
      <c r="I37" s="118" t="s">
        <v>781</v>
      </c>
      <c r="J37" s="169" t="s">
        <v>250</v>
      </c>
      <c r="K37" s="179"/>
      <c r="L37" s="118" t="s">
        <v>383</v>
      </c>
      <c r="M37" s="169" t="s">
        <v>267</v>
      </c>
      <c r="N37" s="169"/>
      <c r="O37" s="169"/>
      <c r="P37" s="169"/>
      <c r="Q37" s="152"/>
      <c r="R37" s="152"/>
      <c r="S37" s="152"/>
      <c r="T37" s="152"/>
      <c r="U37" s="152"/>
      <c r="V37" s="152"/>
      <c r="W37" s="152"/>
      <c r="X37" s="153"/>
      <c r="Z37" s="126"/>
      <c r="AA37" s="147"/>
      <c r="AB37" s="148"/>
      <c r="AC37" s="678"/>
      <c r="AD37" s="679"/>
      <c r="AE37" s="679"/>
      <c r="AF37" s="680"/>
      <c r="AG37" s="109"/>
      <c r="AH37" s="109"/>
      <c r="AI37" s="109" t="str">
        <f>"64:tokutiiki_code:" &amp; IF(I37="■",1,IF(L37="■",2,0))</f>
        <v>64:tokutiiki_code:1</v>
      </c>
      <c r="AJ37" s="109"/>
    </row>
    <row r="38" spans="1:36" ht="18.75" customHeight="1" x14ac:dyDescent="0.2">
      <c r="A38" s="139"/>
      <c r="B38" s="670"/>
      <c r="C38" s="660"/>
      <c r="D38" s="629" t="s">
        <v>383</v>
      </c>
      <c r="E38" s="128" t="s">
        <v>427</v>
      </c>
      <c r="F38" s="142"/>
      <c r="G38" s="143"/>
      <c r="H38" s="694" t="s">
        <v>478</v>
      </c>
      <c r="I38" s="707" t="s">
        <v>781</v>
      </c>
      <c r="J38" s="708" t="s">
        <v>256</v>
      </c>
      <c r="K38" s="708"/>
      <c r="L38" s="708"/>
      <c r="M38" s="707" t="s">
        <v>383</v>
      </c>
      <c r="N38" s="708" t="s">
        <v>257</v>
      </c>
      <c r="O38" s="708"/>
      <c r="P38" s="708"/>
      <c r="Q38" s="181"/>
      <c r="R38" s="181"/>
      <c r="S38" s="181"/>
      <c r="T38" s="181"/>
      <c r="U38" s="181"/>
      <c r="V38" s="181"/>
      <c r="W38" s="181"/>
      <c r="X38" s="182"/>
      <c r="AB38" s="148"/>
      <c r="AC38" s="678"/>
      <c r="AD38" s="679"/>
      <c r="AE38" s="679"/>
      <c r="AF38" s="680"/>
      <c r="AG38" s="109"/>
      <c r="AH38" s="109"/>
      <c r="AI38" s="109" t="str">
        <f>"64:chuusankanti_tiiki_code:" &amp; IF(I38="■",1,IF(M38="■",2,0))</f>
        <v>64:chuusankanti_tiiki_code:1</v>
      </c>
      <c r="AJ38" s="109"/>
    </row>
    <row r="39" spans="1:36" ht="18.75" customHeight="1" x14ac:dyDescent="0.2">
      <c r="A39" s="664" t="s">
        <v>383</v>
      </c>
      <c r="B39" s="670">
        <v>64</v>
      </c>
      <c r="C39" s="660" t="s">
        <v>479</v>
      </c>
      <c r="D39" s="629" t="s">
        <v>383</v>
      </c>
      <c r="E39" s="128" t="s">
        <v>279</v>
      </c>
      <c r="F39" s="142"/>
      <c r="G39" s="143"/>
      <c r="H39" s="693"/>
      <c r="I39" s="696"/>
      <c r="J39" s="698"/>
      <c r="K39" s="698"/>
      <c r="L39" s="698"/>
      <c r="M39" s="696"/>
      <c r="N39" s="698"/>
      <c r="O39" s="698"/>
      <c r="P39" s="698"/>
      <c r="Q39" s="152"/>
      <c r="R39" s="152"/>
      <c r="S39" s="152"/>
      <c r="T39" s="152"/>
      <c r="U39" s="152"/>
      <c r="V39" s="152"/>
      <c r="W39" s="152"/>
      <c r="X39" s="153"/>
      <c r="Y39" s="154"/>
      <c r="Z39" s="147"/>
      <c r="AA39" s="147"/>
      <c r="AB39" s="148"/>
      <c r="AC39" s="678"/>
      <c r="AD39" s="679"/>
      <c r="AE39" s="679"/>
      <c r="AF39" s="680"/>
      <c r="AG39" s="109"/>
      <c r="AH39" s="109"/>
      <c r="AI39" s="109"/>
      <c r="AJ39" s="109"/>
    </row>
    <row r="40" spans="1:36" ht="18.75" customHeight="1" x14ac:dyDescent="0.2">
      <c r="A40" s="139"/>
      <c r="B40" s="670"/>
      <c r="C40" s="660" t="s">
        <v>480</v>
      </c>
      <c r="D40" s="629" t="s">
        <v>383</v>
      </c>
      <c r="E40" s="128" t="s">
        <v>280</v>
      </c>
      <c r="F40" s="142"/>
      <c r="G40" s="143"/>
      <c r="H40" s="694" t="s">
        <v>481</v>
      </c>
      <c r="I40" s="707" t="s">
        <v>781</v>
      </c>
      <c r="J40" s="708" t="s">
        <v>256</v>
      </c>
      <c r="K40" s="708"/>
      <c r="L40" s="708"/>
      <c r="M40" s="707" t="s">
        <v>383</v>
      </c>
      <c r="N40" s="708" t="s">
        <v>257</v>
      </c>
      <c r="O40" s="708"/>
      <c r="P40" s="708"/>
      <c r="Q40" s="181"/>
      <c r="R40" s="181"/>
      <c r="S40" s="181"/>
      <c r="T40" s="181"/>
      <c r="U40" s="181"/>
      <c r="V40" s="181"/>
      <c r="W40" s="181"/>
      <c r="X40" s="182"/>
      <c r="Y40" s="154"/>
      <c r="Z40" s="147"/>
      <c r="AA40" s="147"/>
      <c r="AB40" s="148"/>
      <c r="AC40" s="678"/>
      <c r="AD40" s="679"/>
      <c r="AE40" s="679"/>
      <c r="AF40" s="680"/>
      <c r="AI40" s="109" t="str">
        <f>"64:chuusankanti_kibo_code:" &amp; IF(I40="■",1,IF(M40="■",2,0))</f>
        <v>64:chuusankanti_kibo_code:1</v>
      </c>
    </row>
    <row r="41" spans="1:36" ht="18.75" customHeight="1" x14ac:dyDescent="0.2">
      <c r="A41" s="139"/>
      <c r="B41" s="670"/>
      <c r="C41" s="660"/>
      <c r="D41" s="141"/>
      <c r="E41" s="128"/>
      <c r="F41" s="142"/>
      <c r="G41" s="143"/>
      <c r="H41" s="693"/>
      <c r="I41" s="696"/>
      <c r="J41" s="698"/>
      <c r="K41" s="698"/>
      <c r="L41" s="698"/>
      <c r="M41" s="696"/>
      <c r="N41" s="698"/>
      <c r="O41" s="698"/>
      <c r="P41" s="698"/>
      <c r="Q41" s="152"/>
      <c r="R41" s="152"/>
      <c r="S41" s="152"/>
      <c r="T41" s="152"/>
      <c r="U41" s="152"/>
      <c r="V41" s="152"/>
      <c r="W41" s="152"/>
      <c r="X41" s="153"/>
      <c r="Y41" s="154"/>
      <c r="Z41" s="147"/>
      <c r="AA41" s="147"/>
      <c r="AB41" s="148"/>
      <c r="AC41" s="678"/>
      <c r="AD41" s="679"/>
      <c r="AE41" s="679"/>
      <c r="AF41" s="680"/>
    </row>
    <row r="42" spans="1:36" ht="19.5" customHeight="1" x14ac:dyDescent="0.2">
      <c r="A42" s="139"/>
      <c r="B42" s="670"/>
      <c r="C42" s="140"/>
      <c r="D42" s="141"/>
      <c r="E42" s="128"/>
      <c r="F42" s="142"/>
      <c r="G42" s="143"/>
      <c r="H42" s="155" t="s">
        <v>433</v>
      </c>
      <c r="I42" s="156" t="s">
        <v>383</v>
      </c>
      <c r="J42" s="157" t="s">
        <v>250</v>
      </c>
      <c r="K42" s="157"/>
      <c r="L42" s="160" t="s">
        <v>383</v>
      </c>
      <c r="M42" s="157" t="s">
        <v>267</v>
      </c>
      <c r="N42" s="157"/>
      <c r="O42" s="162"/>
      <c r="P42" s="157"/>
      <c r="Q42" s="162"/>
      <c r="R42" s="162"/>
      <c r="S42" s="162"/>
      <c r="T42" s="162"/>
      <c r="U42" s="162"/>
      <c r="V42" s="162"/>
      <c r="W42" s="162"/>
      <c r="X42" s="163"/>
      <c r="Y42" s="147"/>
      <c r="Z42" s="147"/>
      <c r="AA42" s="147"/>
      <c r="AB42" s="148"/>
      <c r="AC42" s="678"/>
      <c r="AD42" s="679"/>
      <c r="AE42" s="679"/>
      <c r="AF42" s="680"/>
      <c r="AI42" s="109" t="str">
        <f>"64:field224:" &amp; IF(I42="■",1,IF(L42="■",2,0))</f>
        <v>64:field224:0</v>
      </c>
    </row>
    <row r="43" spans="1:36" ht="18.75" customHeight="1" x14ac:dyDescent="0.2">
      <c r="A43" s="139"/>
      <c r="B43" s="670"/>
      <c r="C43" s="660"/>
      <c r="D43" s="142"/>
      <c r="E43" s="128"/>
      <c r="F43" s="142"/>
      <c r="G43" s="143"/>
      <c r="H43" s="978" t="s">
        <v>118</v>
      </c>
      <c r="I43" s="979" t="s">
        <v>383</v>
      </c>
      <c r="J43" s="980" t="s">
        <v>250</v>
      </c>
      <c r="K43" s="980"/>
      <c r="L43" s="982" t="s">
        <v>383</v>
      </c>
      <c r="M43" s="980" t="s">
        <v>268</v>
      </c>
      <c r="N43" s="980"/>
      <c r="O43" s="982" t="s">
        <v>383</v>
      </c>
      <c r="P43" s="980" t="s">
        <v>277</v>
      </c>
      <c r="Q43" s="997"/>
      <c r="R43" s="981"/>
      <c r="S43" s="997"/>
      <c r="T43" s="997"/>
      <c r="U43" s="997"/>
      <c r="V43" s="997"/>
      <c r="W43" s="997"/>
      <c r="X43" s="998"/>
      <c r="Y43" s="147"/>
      <c r="Z43" s="147"/>
      <c r="AA43" s="147"/>
      <c r="AB43" s="148"/>
      <c r="AC43" s="678"/>
      <c r="AD43" s="679"/>
      <c r="AE43" s="679"/>
      <c r="AF43" s="680"/>
      <c r="AI43" s="109" t="str">
        <f>"64:serteikyo_kyoka_code:" &amp; IF(I43="■",1,IF(L43="■",3,IF(O43="■",4,0)))</f>
        <v>64:serteikyo_kyoka_code:0</v>
      </c>
    </row>
    <row r="44" spans="1:36" s="621" customFormat="1" ht="18.75" customHeight="1" x14ac:dyDescent="0.2">
      <c r="A44" s="183"/>
      <c r="B44" s="658"/>
      <c r="C44" s="185"/>
      <c r="D44" s="186"/>
      <c r="E44" s="187"/>
      <c r="F44" s="188"/>
      <c r="G44" s="189"/>
      <c r="H44" s="640" t="s">
        <v>790</v>
      </c>
      <c r="I44" s="211" t="s">
        <v>383</v>
      </c>
      <c r="J44" s="623" t="s">
        <v>627</v>
      </c>
      <c r="K44" s="623"/>
      <c r="L44" s="211" t="s">
        <v>383</v>
      </c>
      <c r="M44" s="623" t="s">
        <v>635</v>
      </c>
      <c r="N44" s="625"/>
      <c r="O44" s="630"/>
      <c r="P44" s="630"/>
      <c r="Q44" s="625"/>
      <c r="R44" s="625"/>
      <c r="S44" s="625"/>
      <c r="T44" s="625"/>
      <c r="U44" s="625"/>
      <c r="V44" s="625"/>
      <c r="W44" s="625"/>
      <c r="X44" s="626"/>
      <c r="Y44" s="147"/>
      <c r="Z44" s="147"/>
      <c r="AA44" s="147"/>
      <c r="AB44" s="148"/>
      <c r="AC44" s="722"/>
      <c r="AD44" s="723"/>
      <c r="AE44" s="723"/>
      <c r="AF44" s="724"/>
    </row>
    <row r="45" spans="1:36" ht="18.75" customHeight="1" x14ac:dyDescent="0.2">
      <c r="A45" s="129"/>
      <c r="B45" s="116"/>
      <c r="C45" s="233"/>
      <c r="D45" s="132"/>
      <c r="E45" s="121"/>
      <c r="F45" s="132"/>
      <c r="G45" s="133"/>
      <c r="H45" s="234" t="s">
        <v>137</v>
      </c>
      <c r="I45" s="138" t="s">
        <v>781</v>
      </c>
      <c r="J45" s="197" t="s">
        <v>250</v>
      </c>
      <c r="K45" s="198"/>
      <c r="L45" s="134" t="s">
        <v>383</v>
      </c>
      <c r="M45" s="197" t="s">
        <v>267</v>
      </c>
      <c r="N45" s="197"/>
      <c r="O45" s="197"/>
      <c r="P45" s="197"/>
      <c r="Q45" s="201"/>
      <c r="R45" s="201"/>
      <c r="S45" s="201"/>
      <c r="T45" s="201"/>
      <c r="U45" s="201"/>
      <c r="V45" s="201"/>
      <c r="W45" s="201"/>
      <c r="X45" s="202"/>
      <c r="Y45" s="134" t="s">
        <v>383</v>
      </c>
      <c r="Z45" s="119" t="s">
        <v>249</v>
      </c>
      <c r="AA45" s="119"/>
      <c r="AB45" s="137"/>
      <c r="AC45" s="822"/>
      <c r="AD45" s="823"/>
      <c r="AE45" s="823"/>
      <c r="AF45" s="824"/>
      <c r="AG45" s="109" t="str">
        <f>"ser_code = '" &amp; IF(A48="■",34,"") &amp; "'"</f>
        <v>ser_code = ''</v>
      </c>
      <c r="AH45" s="109"/>
      <c r="AI45" s="109" t="str">
        <f>"34:tokutiiki_code:" &amp; IF(I45="■",1,IF(L45="■",2,0))</f>
        <v>34:tokutiiki_code:1</v>
      </c>
      <c r="AJ45" s="109" t="str">
        <f>"34:field203:" &amp; IF(Y45="■",1,IF(Y46="■",2,0))</f>
        <v>34:field203:0</v>
      </c>
    </row>
    <row r="46" spans="1:36" ht="18.75" customHeight="1" x14ac:dyDescent="0.2">
      <c r="A46" s="139"/>
      <c r="B46" s="123"/>
      <c r="C46" s="140"/>
      <c r="D46" s="142"/>
      <c r="E46" s="128"/>
      <c r="F46" s="142"/>
      <c r="G46" s="143"/>
      <c r="H46" s="694" t="s">
        <v>478</v>
      </c>
      <c r="I46" s="715" t="s">
        <v>781</v>
      </c>
      <c r="J46" s="708" t="s">
        <v>256</v>
      </c>
      <c r="K46" s="708"/>
      <c r="L46" s="708"/>
      <c r="M46" s="707" t="s">
        <v>383</v>
      </c>
      <c r="N46" s="708" t="s">
        <v>257</v>
      </c>
      <c r="O46" s="708"/>
      <c r="P46" s="708"/>
      <c r="Q46" s="181"/>
      <c r="R46" s="181"/>
      <c r="S46" s="181"/>
      <c r="T46" s="181"/>
      <c r="U46" s="181"/>
      <c r="V46" s="181"/>
      <c r="W46" s="181"/>
      <c r="X46" s="182"/>
      <c r="Y46" s="118" t="s">
        <v>383</v>
      </c>
      <c r="Z46" s="126" t="s">
        <v>255</v>
      </c>
      <c r="AA46" s="126"/>
      <c r="AB46" s="148"/>
      <c r="AC46" s="825"/>
      <c r="AD46" s="826"/>
      <c r="AE46" s="826"/>
      <c r="AF46" s="827"/>
      <c r="AG46" s="109"/>
      <c r="AH46" s="109"/>
      <c r="AI46" s="109" t="str">
        <f>"34:chuusankanti_tiiki_code:" &amp; IF(I46="■",1,IF(M46="■",2,0))</f>
        <v>34:chuusankanti_tiiki_code:1</v>
      </c>
      <c r="AJ46" s="109"/>
    </row>
    <row r="47" spans="1:36" ht="18.75" customHeight="1" x14ac:dyDescent="0.2">
      <c r="A47" s="139"/>
      <c r="B47" s="123"/>
      <c r="C47" s="140"/>
      <c r="D47" s="142"/>
      <c r="E47" s="128"/>
      <c r="F47" s="142"/>
      <c r="G47" s="143"/>
      <c r="H47" s="693"/>
      <c r="I47" s="716"/>
      <c r="J47" s="698"/>
      <c r="K47" s="698"/>
      <c r="L47" s="698"/>
      <c r="M47" s="696"/>
      <c r="N47" s="698"/>
      <c r="O47" s="698"/>
      <c r="P47" s="698"/>
      <c r="Q47" s="152"/>
      <c r="R47" s="152"/>
      <c r="S47" s="152"/>
      <c r="T47" s="152"/>
      <c r="U47" s="152"/>
      <c r="V47" s="152"/>
      <c r="W47" s="152"/>
      <c r="X47" s="153"/>
      <c r="Y47" s="154"/>
      <c r="Z47" s="147"/>
      <c r="AA47" s="147"/>
      <c r="AB47" s="148"/>
      <c r="AC47" s="825"/>
      <c r="AD47" s="826"/>
      <c r="AE47" s="826"/>
      <c r="AF47" s="827"/>
      <c r="AG47" s="109"/>
      <c r="AH47" s="109"/>
      <c r="AI47" s="109"/>
      <c r="AJ47" s="109"/>
    </row>
    <row r="48" spans="1:36" ht="18.75" customHeight="1" x14ac:dyDescent="0.2">
      <c r="A48" s="125" t="s">
        <v>383</v>
      </c>
      <c r="B48" s="123">
        <v>34</v>
      </c>
      <c r="C48" s="237" t="s">
        <v>482</v>
      </c>
      <c r="D48" s="142"/>
      <c r="E48" s="128"/>
      <c r="F48" s="142"/>
      <c r="G48" s="143"/>
      <c r="H48" s="694" t="s">
        <v>481</v>
      </c>
      <c r="I48" s="715" t="s">
        <v>781</v>
      </c>
      <c r="J48" s="708" t="s">
        <v>256</v>
      </c>
      <c r="K48" s="708"/>
      <c r="L48" s="708"/>
      <c r="M48" s="707" t="s">
        <v>383</v>
      </c>
      <c r="N48" s="708" t="s">
        <v>257</v>
      </c>
      <c r="O48" s="708"/>
      <c r="P48" s="708"/>
      <c r="Q48" s="181"/>
      <c r="R48" s="181"/>
      <c r="S48" s="181"/>
      <c r="T48" s="181"/>
      <c r="U48" s="181"/>
      <c r="V48" s="181"/>
      <c r="W48" s="181"/>
      <c r="X48" s="182"/>
      <c r="Y48" s="154"/>
      <c r="Z48" s="147"/>
      <c r="AA48" s="147"/>
      <c r="AB48" s="148"/>
      <c r="AC48" s="825"/>
      <c r="AD48" s="826"/>
      <c r="AE48" s="826"/>
      <c r="AF48" s="827"/>
      <c r="AG48" s="109"/>
      <c r="AH48" s="109"/>
      <c r="AI48" s="109" t="str">
        <f>"34:chuusankanti_kibo_code:" &amp; IF(I48="■",1,IF(M48="■",2,0))</f>
        <v>34:chuusankanti_kibo_code:1</v>
      </c>
      <c r="AJ48" s="109"/>
    </row>
    <row r="49" spans="1:36" ht="18" customHeight="1" x14ac:dyDescent="0.2">
      <c r="A49" s="139"/>
      <c r="B49" s="123"/>
      <c r="C49" s="237" t="s">
        <v>483</v>
      </c>
      <c r="D49" s="142"/>
      <c r="E49" s="128"/>
      <c r="F49" s="142"/>
      <c r="G49" s="143"/>
      <c r="H49" s="693"/>
      <c r="I49" s="716"/>
      <c r="J49" s="698"/>
      <c r="K49" s="698"/>
      <c r="L49" s="698"/>
      <c r="M49" s="696"/>
      <c r="N49" s="698"/>
      <c r="O49" s="698"/>
      <c r="P49" s="698"/>
      <c r="Q49" s="152"/>
      <c r="R49" s="152"/>
      <c r="S49" s="152"/>
      <c r="T49" s="152"/>
      <c r="U49" s="152"/>
      <c r="V49" s="152"/>
      <c r="W49" s="152"/>
      <c r="X49" s="153"/>
      <c r="Y49" s="154"/>
      <c r="Z49" s="147"/>
      <c r="AA49" s="147"/>
      <c r="AB49" s="148"/>
      <c r="AC49" s="825"/>
      <c r="AD49" s="826"/>
      <c r="AE49" s="826"/>
      <c r="AF49" s="827"/>
    </row>
    <row r="50" spans="1:36" ht="18.75" customHeight="1" x14ac:dyDescent="0.2">
      <c r="A50" s="139"/>
      <c r="B50" s="123"/>
      <c r="C50" s="140"/>
      <c r="D50" s="141"/>
      <c r="E50" s="178"/>
      <c r="F50" s="141"/>
      <c r="G50" s="123"/>
      <c r="H50" s="149" t="s">
        <v>439</v>
      </c>
      <c r="I50" s="125" t="s">
        <v>383</v>
      </c>
      <c r="J50" s="697" t="s">
        <v>250</v>
      </c>
      <c r="K50" s="697"/>
      <c r="L50" s="118" t="s">
        <v>383</v>
      </c>
      <c r="M50" s="697" t="s">
        <v>267</v>
      </c>
      <c r="N50" s="697"/>
      <c r="O50" s="126"/>
      <c r="P50" s="126"/>
      <c r="Q50" s="145"/>
      <c r="R50" s="145"/>
      <c r="S50" s="145"/>
      <c r="T50" s="145"/>
      <c r="U50" s="145"/>
      <c r="V50" s="145"/>
      <c r="W50" s="145"/>
      <c r="X50" s="146"/>
      <c r="Y50" s="154"/>
      <c r="Z50" s="147"/>
      <c r="AA50" s="147"/>
      <c r="AB50" s="148"/>
      <c r="AC50" s="825"/>
      <c r="AD50" s="826"/>
      <c r="AE50" s="826"/>
      <c r="AF50" s="827"/>
      <c r="AI50" s="109" t="str">
        <f>"34:field240:" &amp; IF(I50="■",1,IF(L50="■",2,0))</f>
        <v>34:field240:0</v>
      </c>
    </row>
    <row r="51" spans="1:36" ht="18.75" customHeight="1" x14ac:dyDescent="0.2">
      <c r="A51" s="183"/>
      <c r="B51" s="184"/>
      <c r="C51" s="264"/>
      <c r="D51" s="186"/>
      <c r="E51" s="228"/>
      <c r="F51" s="186"/>
      <c r="G51" s="184"/>
      <c r="H51" s="229" t="s">
        <v>440</v>
      </c>
      <c r="I51" s="190" t="s">
        <v>383</v>
      </c>
      <c r="J51" s="222" t="s">
        <v>250</v>
      </c>
      <c r="K51" s="230"/>
      <c r="L51" s="191" t="s">
        <v>383</v>
      </c>
      <c r="M51" s="222" t="s">
        <v>267</v>
      </c>
      <c r="N51" s="222"/>
      <c r="O51" s="222"/>
      <c r="P51" s="222"/>
      <c r="Q51" s="223"/>
      <c r="R51" s="223"/>
      <c r="S51" s="223"/>
      <c r="T51" s="223"/>
      <c r="U51" s="223"/>
      <c r="V51" s="223"/>
      <c r="W51" s="223"/>
      <c r="X51" s="224"/>
      <c r="Y51" s="194"/>
      <c r="Z51" s="231"/>
      <c r="AA51" s="231"/>
      <c r="AB51" s="193"/>
      <c r="AC51" s="828"/>
      <c r="AD51" s="829"/>
      <c r="AE51" s="829"/>
      <c r="AF51" s="830"/>
      <c r="AI51" s="109" t="str">
        <f>"34:field241:" &amp; IF(I51="■",1,IF(L51="■",2,0))</f>
        <v>34:field241:0</v>
      </c>
    </row>
    <row r="52" spans="1:36" ht="18.75" customHeight="1" x14ac:dyDescent="0.2">
      <c r="A52" s="129"/>
      <c r="B52" s="116"/>
      <c r="C52" s="233"/>
      <c r="D52" s="132"/>
      <c r="E52" s="121"/>
      <c r="F52" s="132"/>
      <c r="G52" s="133"/>
      <c r="H52" s="705" t="s">
        <v>93</v>
      </c>
      <c r="I52" s="138" t="s">
        <v>383</v>
      </c>
      <c r="J52" s="119" t="s">
        <v>250</v>
      </c>
      <c r="K52" s="119"/>
      <c r="L52" s="243"/>
      <c r="M52" s="134" t="s">
        <v>383</v>
      </c>
      <c r="N52" s="119" t="s">
        <v>289</v>
      </c>
      <c r="O52" s="119"/>
      <c r="P52" s="243"/>
      <c r="Q52" s="134" t="s">
        <v>383</v>
      </c>
      <c r="R52" s="244" t="s">
        <v>290</v>
      </c>
      <c r="S52" s="244"/>
      <c r="T52" s="244"/>
      <c r="U52" s="134" t="s">
        <v>383</v>
      </c>
      <c r="V52" s="244" t="s">
        <v>291</v>
      </c>
      <c r="W52" s="244"/>
      <c r="X52" s="225"/>
      <c r="Y52" s="134" t="s">
        <v>383</v>
      </c>
      <c r="Z52" s="119" t="s">
        <v>249</v>
      </c>
      <c r="AA52" s="119"/>
      <c r="AB52" s="137"/>
      <c r="AC52" s="816"/>
      <c r="AD52" s="817"/>
      <c r="AE52" s="817"/>
      <c r="AF52" s="818"/>
      <c r="AG52" s="109" t="str">
        <f>"ser_code = '" &amp; IF(A57="■",66,"") &amp; "'"</f>
        <v>ser_code = ''</v>
      </c>
      <c r="AH52" s="109"/>
      <c r="AI52" s="109" t="str">
        <f>"66:"&amp;IF(AND(I52="□",M52="□",Q52="□",U52="□",I53="□",M53="□",Q53="□"),"ketu_doctor_code:0",IF(I52="■","ketu_doctor_code:1:ketu_kangos_code:1:ketu_kshoku_code:1:ketu_rryoho_code:1:ketu_sryoho_code:1:ketu_gengo_code:1",
IF(M52="■","ketu_doctor_code:2","ketu_doctor_code:1")
&amp;IF(Q52="■",":ketu_kangos_code:2",":ketu_kangos_code:1")
&amp;IF(U52="■",":ketu_kshoku_code:2",":ketu_kshoku_code:1")
&amp;IF(I53="■",":ketu_rryoho_code:2",":ketu_rryoho_code:1")
&amp;IF(M53="■",":ketu_sryoho_code:2",":ketu_sryoho_code:1")
&amp;IF(Q53="■",":ketu_gengo_code:2",":ketu_gengo_code:1")))</f>
        <v>66:ketu_doctor_code:0</v>
      </c>
      <c r="AJ52" s="109" t="str">
        <f>"66:field203:" &amp; IF(Y52="■",1,IF(Y53="■",2,0))</f>
        <v>66:field203:0</v>
      </c>
    </row>
    <row r="53" spans="1:36" ht="18.75" customHeight="1" x14ac:dyDescent="0.2">
      <c r="A53" s="139"/>
      <c r="B53" s="123"/>
      <c r="C53" s="237"/>
      <c r="D53" s="142"/>
      <c r="E53" s="128"/>
      <c r="F53" s="142"/>
      <c r="G53" s="143"/>
      <c r="H53" s="706"/>
      <c r="I53" s="125" t="s">
        <v>383</v>
      </c>
      <c r="J53" s="126" t="s">
        <v>292</v>
      </c>
      <c r="M53" s="118" t="s">
        <v>383</v>
      </c>
      <c r="N53" s="126" t="s">
        <v>293</v>
      </c>
      <c r="Q53" s="118" t="s">
        <v>383</v>
      </c>
      <c r="R53" s="126" t="s">
        <v>294</v>
      </c>
      <c r="X53" s="178"/>
      <c r="Y53" s="118" t="s">
        <v>383</v>
      </c>
      <c r="Z53" s="126" t="s">
        <v>255</v>
      </c>
      <c r="AA53" s="147"/>
      <c r="AB53" s="148"/>
      <c r="AC53" s="819"/>
      <c r="AD53" s="820"/>
      <c r="AE53" s="820"/>
      <c r="AF53" s="821"/>
      <c r="AG53" s="109" t="str">
        <f>"66:sisetukbn_code:" &amp; IF(D56="■",1,IF(D57="■",2,IF(D58="■",3,0)))</f>
        <v>66:sisetukbn_code:0</v>
      </c>
      <c r="AH53" s="109"/>
      <c r="AI53" s="109"/>
      <c r="AJ53" s="109"/>
    </row>
    <row r="54" spans="1:36" ht="19.5" customHeight="1" x14ac:dyDescent="0.2">
      <c r="A54" s="139"/>
      <c r="B54" s="123"/>
      <c r="C54" s="237"/>
      <c r="D54" s="142"/>
      <c r="E54" s="128"/>
      <c r="F54" s="142"/>
      <c r="G54" s="143"/>
      <c r="H54" s="155" t="s">
        <v>430</v>
      </c>
      <c r="I54" s="156" t="s">
        <v>383</v>
      </c>
      <c r="J54" s="157" t="s">
        <v>395</v>
      </c>
      <c r="K54" s="158"/>
      <c r="L54" s="159"/>
      <c r="M54" s="160" t="s">
        <v>383</v>
      </c>
      <c r="N54" s="157" t="s">
        <v>431</v>
      </c>
      <c r="O54" s="157"/>
      <c r="P54" s="157"/>
      <c r="Q54" s="162"/>
      <c r="R54" s="162"/>
      <c r="S54" s="162"/>
      <c r="T54" s="162"/>
      <c r="U54" s="162"/>
      <c r="V54" s="162"/>
      <c r="W54" s="162"/>
      <c r="X54" s="163"/>
      <c r="Y54" s="154"/>
      <c r="Z54" s="147"/>
      <c r="AA54" s="147"/>
      <c r="AB54" s="148"/>
      <c r="AC54" s="819"/>
      <c r="AD54" s="820"/>
      <c r="AE54" s="820"/>
      <c r="AF54" s="821"/>
      <c r="AG54" s="289"/>
      <c r="AI54" s="109" t="str">
        <f>"66:field223:" &amp; IF(I54="■",1,IF(M54="■",2,0))</f>
        <v>66:field223:0</v>
      </c>
    </row>
    <row r="55" spans="1:36" ht="19.5" customHeight="1" x14ac:dyDescent="0.2">
      <c r="A55" s="139"/>
      <c r="B55" s="123"/>
      <c r="C55" s="140"/>
      <c r="D55" s="141"/>
      <c r="E55" s="128"/>
      <c r="F55" s="142"/>
      <c r="G55" s="143"/>
      <c r="H55" s="257" t="s">
        <v>448</v>
      </c>
      <c r="I55" s="150" t="s">
        <v>383</v>
      </c>
      <c r="J55" s="169" t="s">
        <v>395</v>
      </c>
      <c r="K55" s="179"/>
      <c r="L55" s="254"/>
      <c r="M55" s="203" t="s">
        <v>383</v>
      </c>
      <c r="N55" s="169" t="s">
        <v>431</v>
      </c>
      <c r="O55" s="169"/>
      <c r="P55" s="169"/>
      <c r="Q55" s="152"/>
      <c r="R55" s="152"/>
      <c r="S55" s="152"/>
      <c r="T55" s="152"/>
      <c r="U55" s="152"/>
      <c r="V55" s="152"/>
      <c r="W55" s="152"/>
      <c r="X55" s="153"/>
      <c r="Y55" s="154"/>
      <c r="Z55" s="147"/>
      <c r="AA55" s="147"/>
      <c r="AB55" s="148"/>
      <c r="AC55" s="819"/>
      <c r="AD55" s="820"/>
      <c r="AE55" s="820"/>
      <c r="AF55" s="821"/>
      <c r="AI55" s="109" t="str">
        <f>"66:field232:" &amp; IF(I55="■",1,IF(M55="■",2,0))</f>
        <v>66:field232:0</v>
      </c>
    </row>
    <row r="56" spans="1:36" ht="18.75" customHeight="1" x14ac:dyDescent="0.2">
      <c r="A56" s="139"/>
      <c r="B56" s="123"/>
      <c r="C56" s="140"/>
      <c r="D56" s="118" t="s">
        <v>383</v>
      </c>
      <c r="E56" s="128" t="s">
        <v>427</v>
      </c>
      <c r="F56" s="142"/>
      <c r="G56" s="143"/>
      <c r="H56" s="239" t="s">
        <v>484</v>
      </c>
      <c r="I56" s="156" t="s">
        <v>383</v>
      </c>
      <c r="J56" s="157" t="s">
        <v>250</v>
      </c>
      <c r="K56" s="158"/>
      <c r="L56" s="160" t="s">
        <v>383</v>
      </c>
      <c r="M56" s="157" t="s">
        <v>267</v>
      </c>
      <c r="N56" s="157"/>
      <c r="O56" s="207"/>
      <c r="P56" s="207"/>
      <c r="Q56" s="207"/>
      <c r="R56" s="207"/>
      <c r="S56" s="207"/>
      <c r="T56" s="207"/>
      <c r="U56" s="207"/>
      <c r="V56" s="207"/>
      <c r="W56" s="207"/>
      <c r="X56" s="208"/>
      <c r="Y56" s="154"/>
      <c r="Z56" s="147"/>
      <c r="AA56" s="147"/>
      <c r="AB56" s="148"/>
      <c r="AC56" s="819"/>
      <c r="AD56" s="820"/>
      <c r="AE56" s="820"/>
      <c r="AF56" s="821"/>
      <c r="AI56" s="109" t="str">
        <f>"66:field157:" &amp; IF(I56="■",1,IF(L56="■",2,0))</f>
        <v>66:field157:0</v>
      </c>
    </row>
    <row r="57" spans="1:36" ht="18.75" customHeight="1" x14ac:dyDescent="0.2">
      <c r="A57" s="125" t="s">
        <v>383</v>
      </c>
      <c r="B57" s="123">
        <v>66</v>
      </c>
      <c r="C57" s="237" t="s">
        <v>485</v>
      </c>
      <c r="D57" s="118" t="s">
        <v>383</v>
      </c>
      <c r="E57" s="128" t="s">
        <v>279</v>
      </c>
      <c r="F57" s="142"/>
      <c r="G57" s="143"/>
      <c r="H57" s="242" t="s">
        <v>486</v>
      </c>
      <c r="I57" s="160" t="s">
        <v>383</v>
      </c>
      <c r="J57" s="157" t="s">
        <v>250</v>
      </c>
      <c r="K57" s="158"/>
      <c r="L57" s="160" t="s">
        <v>383</v>
      </c>
      <c r="M57" s="157" t="s">
        <v>267</v>
      </c>
      <c r="N57" s="157"/>
      <c r="O57" s="207"/>
      <c r="P57" s="207"/>
      <c r="Q57" s="207"/>
      <c r="R57" s="207"/>
      <c r="S57" s="207"/>
      <c r="T57" s="207"/>
      <c r="U57" s="207"/>
      <c r="V57" s="207"/>
      <c r="W57" s="207"/>
      <c r="X57" s="208"/>
      <c r="Y57" s="154"/>
      <c r="Z57" s="147"/>
      <c r="AA57" s="147"/>
      <c r="AB57" s="148"/>
      <c r="AC57" s="819"/>
      <c r="AD57" s="820"/>
      <c r="AE57" s="820"/>
      <c r="AF57" s="821"/>
      <c r="AI57" s="109" t="str">
        <f>"66:jyakuninti_uke_code:" &amp; IF(I57="■",1,IF(L57="■",2,0))</f>
        <v>66:jyakuninti_uke_code:0</v>
      </c>
    </row>
    <row r="58" spans="1:36" ht="18.75" customHeight="1" x14ac:dyDescent="0.2">
      <c r="A58" s="139"/>
      <c r="B58" s="123"/>
      <c r="C58" s="237" t="s">
        <v>480</v>
      </c>
      <c r="D58" s="118" t="s">
        <v>383</v>
      </c>
      <c r="E58" s="128" t="s">
        <v>280</v>
      </c>
      <c r="F58" s="142"/>
      <c r="G58" s="143"/>
      <c r="H58" s="242" t="s">
        <v>236</v>
      </c>
      <c r="I58" s="160" t="s">
        <v>383</v>
      </c>
      <c r="J58" s="157" t="s">
        <v>250</v>
      </c>
      <c r="K58" s="158"/>
      <c r="L58" s="160" t="s">
        <v>383</v>
      </c>
      <c r="M58" s="157" t="s">
        <v>267</v>
      </c>
      <c r="N58" s="157"/>
      <c r="O58" s="207"/>
      <c r="P58" s="207"/>
      <c r="Q58" s="207"/>
      <c r="R58" s="207"/>
      <c r="S58" s="207"/>
      <c r="T58" s="207"/>
      <c r="U58" s="207"/>
      <c r="V58" s="207"/>
      <c r="W58" s="207"/>
      <c r="X58" s="208"/>
      <c r="Y58" s="154"/>
      <c r="Z58" s="147"/>
      <c r="AA58" s="147"/>
      <c r="AB58" s="148"/>
      <c r="AC58" s="819"/>
      <c r="AD58" s="820"/>
      <c r="AE58" s="820"/>
      <c r="AF58" s="821"/>
      <c r="AI58" s="109" t="str">
        <f>"66:eiyomana_code:" &amp; IF(I58="■",1,IF(L58="■",2,0))</f>
        <v>66:eiyomana_code:0</v>
      </c>
    </row>
    <row r="59" spans="1:36" ht="18.75" customHeight="1" x14ac:dyDescent="0.2">
      <c r="A59" s="139"/>
      <c r="B59" s="123"/>
      <c r="C59" s="237"/>
      <c r="D59" s="142"/>
      <c r="E59" s="128"/>
      <c r="F59" s="142"/>
      <c r="G59" s="143"/>
      <c r="H59" s="164" t="s">
        <v>205</v>
      </c>
      <c r="I59" s="160" t="s">
        <v>383</v>
      </c>
      <c r="J59" s="157" t="s">
        <v>250</v>
      </c>
      <c r="K59" s="158"/>
      <c r="L59" s="160" t="s">
        <v>383</v>
      </c>
      <c r="M59" s="157" t="s">
        <v>267</v>
      </c>
      <c r="N59" s="157"/>
      <c r="O59" s="207"/>
      <c r="P59" s="207"/>
      <c r="Q59" s="207"/>
      <c r="R59" s="207"/>
      <c r="S59" s="207"/>
      <c r="T59" s="207"/>
      <c r="U59" s="207"/>
      <c r="V59" s="207"/>
      <c r="W59" s="207"/>
      <c r="X59" s="208"/>
      <c r="Y59" s="154"/>
      <c r="Z59" s="147"/>
      <c r="AA59" s="147"/>
      <c r="AB59" s="148"/>
      <c r="AC59" s="819"/>
      <c r="AD59" s="820"/>
      <c r="AE59" s="820"/>
      <c r="AF59" s="821"/>
      <c r="AI59" s="109" t="str">
        <f>"66:koukoukino_code:" &amp; IF(I59="■",1,IF(L59="■",2,0))</f>
        <v>66:koukoukino_code:0</v>
      </c>
    </row>
    <row r="60" spans="1:36" ht="18.75" customHeight="1" x14ac:dyDescent="0.2">
      <c r="A60" s="139"/>
      <c r="B60" s="123"/>
      <c r="C60" s="237"/>
      <c r="D60" s="142"/>
      <c r="E60" s="128"/>
      <c r="F60" s="142"/>
      <c r="G60" s="143"/>
      <c r="H60" s="167" t="s">
        <v>487</v>
      </c>
      <c r="I60" s="175" t="s">
        <v>383</v>
      </c>
      <c r="J60" s="708" t="s">
        <v>250</v>
      </c>
      <c r="K60" s="708"/>
      <c r="L60" s="206" t="s">
        <v>383</v>
      </c>
      <c r="M60" s="708" t="s">
        <v>267</v>
      </c>
      <c r="N60" s="708"/>
      <c r="O60" s="292"/>
      <c r="P60" s="292"/>
      <c r="Q60" s="292"/>
      <c r="R60" s="292"/>
      <c r="S60" s="292"/>
      <c r="T60" s="292"/>
      <c r="U60" s="292"/>
      <c r="V60" s="292"/>
      <c r="W60" s="292"/>
      <c r="X60" s="293"/>
      <c r="Y60" s="154"/>
      <c r="Z60" s="147"/>
      <c r="AA60" s="147"/>
      <c r="AB60" s="148"/>
      <c r="AC60" s="819"/>
      <c r="AD60" s="820"/>
      <c r="AE60" s="820"/>
      <c r="AF60" s="821"/>
      <c r="AI60" s="109" t="str">
        <f>"66:field174:" &amp; IF(I60="■",1,IF(L60="■",2,0))</f>
        <v>66:field174:0</v>
      </c>
    </row>
    <row r="61" spans="1:36" ht="18.75" customHeight="1" x14ac:dyDescent="0.2">
      <c r="A61" s="139"/>
      <c r="B61" s="123"/>
      <c r="C61" s="237"/>
      <c r="D61" s="142"/>
      <c r="E61" s="128"/>
      <c r="F61" s="142"/>
      <c r="G61" s="143"/>
      <c r="H61" s="164" t="s">
        <v>197</v>
      </c>
      <c r="I61" s="175" t="s">
        <v>383</v>
      </c>
      <c r="J61" s="157" t="s">
        <v>250</v>
      </c>
      <c r="K61" s="158"/>
      <c r="L61" s="160" t="s">
        <v>383</v>
      </c>
      <c r="M61" s="157" t="s">
        <v>267</v>
      </c>
      <c r="N61" s="157"/>
      <c r="O61" s="207"/>
      <c r="P61" s="207"/>
      <c r="Q61" s="207"/>
      <c r="R61" s="207"/>
      <c r="S61" s="207"/>
      <c r="T61" s="207"/>
      <c r="U61" s="207"/>
      <c r="V61" s="207"/>
      <c r="W61" s="207"/>
      <c r="X61" s="208"/>
      <c r="Y61" s="154"/>
      <c r="Z61" s="147"/>
      <c r="AA61" s="147"/>
      <c r="AB61" s="148"/>
      <c r="AC61" s="819"/>
      <c r="AD61" s="820"/>
      <c r="AE61" s="820"/>
      <c r="AF61" s="821"/>
      <c r="AI61" s="109" t="str">
        <f>"66:field212:" &amp; IF(I61="■",1,IF(L61="■",2,0))</f>
        <v>66:field212:0</v>
      </c>
    </row>
    <row r="62" spans="1:36" ht="18.75" customHeight="1" x14ac:dyDescent="0.2">
      <c r="A62" s="139"/>
      <c r="B62" s="670"/>
      <c r="C62" s="660"/>
      <c r="D62" s="142"/>
      <c r="E62" s="128"/>
      <c r="F62" s="142"/>
      <c r="G62" s="143"/>
      <c r="H62" s="242" t="s">
        <v>118</v>
      </c>
      <c r="I62" s="175" t="s">
        <v>383</v>
      </c>
      <c r="J62" s="157" t="s">
        <v>250</v>
      </c>
      <c r="K62" s="157"/>
      <c r="L62" s="160" t="s">
        <v>383</v>
      </c>
      <c r="M62" s="157" t="s">
        <v>295</v>
      </c>
      <c r="N62" s="157"/>
      <c r="O62" s="160" t="s">
        <v>383</v>
      </c>
      <c r="P62" s="157" t="s">
        <v>277</v>
      </c>
      <c r="Q62" s="157"/>
      <c r="R62" s="160" t="s">
        <v>383</v>
      </c>
      <c r="S62" s="157" t="s">
        <v>296</v>
      </c>
      <c r="T62" s="207"/>
      <c r="U62" s="207"/>
      <c r="V62" s="207"/>
      <c r="W62" s="207"/>
      <c r="X62" s="208"/>
      <c r="Y62" s="154"/>
      <c r="Z62" s="147"/>
      <c r="AA62" s="147"/>
      <c r="AB62" s="148"/>
      <c r="AC62" s="819"/>
      <c r="AD62" s="820"/>
      <c r="AE62" s="820"/>
      <c r="AF62" s="821"/>
      <c r="AI62" s="109" t="str">
        <f>"66:serteikyo_kyoka_code:" &amp; IF(I62="■",1,IF(L62="■",5,IF(O62="■",4,IF(R62="■",6,0))))</f>
        <v>66:serteikyo_kyoka_code:0</v>
      </c>
    </row>
    <row r="63" spans="1:36" s="621" customFormat="1" ht="18.75" customHeight="1" x14ac:dyDescent="0.2">
      <c r="A63" s="139"/>
      <c r="B63" s="670"/>
      <c r="C63" s="660"/>
      <c r="D63" s="142"/>
      <c r="E63" s="128"/>
      <c r="F63" s="142"/>
      <c r="G63" s="143"/>
      <c r="H63" s="713" t="s">
        <v>790</v>
      </c>
      <c r="I63" s="642" t="s">
        <v>383</v>
      </c>
      <c r="J63" s="616" t="s">
        <v>627</v>
      </c>
      <c r="K63" s="616"/>
      <c r="L63" s="615"/>
      <c r="M63" s="644" t="s">
        <v>383</v>
      </c>
      <c r="N63" s="616" t="s">
        <v>791</v>
      </c>
      <c r="O63" s="617"/>
      <c r="P63" s="615"/>
      <c r="Q63" s="644" t="s">
        <v>383</v>
      </c>
      <c r="R63" s="618" t="s">
        <v>792</v>
      </c>
      <c r="S63" s="615"/>
      <c r="T63" s="615"/>
      <c r="U63" s="615"/>
      <c r="V63" s="618"/>
      <c r="W63" s="619"/>
      <c r="X63" s="620"/>
      <c r="Y63" s="154"/>
      <c r="Z63" s="147"/>
      <c r="AA63" s="147"/>
      <c r="AB63" s="148"/>
      <c r="AC63" s="819"/>
      <c r="AD63" s="820"/>
      <c r="AE63" s="820"/>
      <c r="AF63" s="821"/>
    </row>
    <row r="64" spans="1:36" s="621" customFormat="1" ht="18.75" customHeight="1" x14ac:dyDescent="0.2">
      <c r="A64" s="139"/>
      <c r="B64" s="670"/>
      <c r="C64" s="660"/>
      <c r="D64" s="142"/>
      <c r="E64" s="128"/>
      <c r="F64" s="142"/>
      <c r="G64" s="143"/>
      <c r="H64" s="714"/>
      <c r="I64" s="645" t="s">
        <v>383</v>
      </c>
      <c r="J64" s="623" t="s">
        <v>793</v>
      </c>
      <c r="K64" s="623"/>
      <c r="L64" s="622"/>
      <c r="M64" s="645" t="s">
        <v>383</v>
      </c>
      <c r="N64" s="623" t="s">
        <v>794</v>
      </c>
      <c r="O64" s="624"/>
      <c r="P64" s="622"/>
      <c r="Q64" s="645" t="s">
        <v>383</v>
      </c>
      <c r="R64" s="623" t="s">
        <v>795</v>
      </c>
      <c r="S64" s="622"/>
      <c r="T64" s="623"/>
      <c r="U64" s="645" t="s">
        <v>383</v>
      </c>
      <c r="V64" s="623" t="s">
        <v>796</v>
      </c>
      <c r="W64" s="625"/>
      <c r="X64" s="626"/>
      <c r="Y64" s="154"/>
      <c r="Z64" s="147"/>
      <c r="AA64" s="147"/>
      <c r="AB64" s="148"/>
      <c r="AC64" s="819"/>
      <c r="AD64" s="820"/>
      <c r="AE64" s="820"/>
      <c r="AF64" s="821"/>
    </row>
    <row r="65" spans="1:37" ht="18.75" customHeight="1" x14ac:dyDescent="0.2">
      <c r="A65" s="129"/>
      <c r="B65" s="116"/>
      <c r="C65" s="130"/>
      <c r="D65" s="131"/>
      <c r="E65" s="121"/>
      <c r="F65" s="132"/>
      <c r="G65" s="133"/>
      <c r="H65" s="226" t="s">
        <v>97</v>
      </c>
      <c r="I65" s="175" t="s">
        <v>383</v>
      </c>
      <c r="J65" s="197" t="s">
        <v>300</v>
      </c>
      <c r="K65" s="198"/>
      <c r="L65" s="199"/>
      <c r="M65" s="200" t="s">
        <v>383</v>
      </c>
      <c r="N65" s="197" t="s">
        <v>301</v>
      </c>
      <c r="O65" s="235"/>
      <c r="P65" s="235"/>
      <c r="Q65" s="235"/>
      <c r="R65" s="235"/>
      <c r="S65" s="235"/>
      <c r="T65" s="198"/>
      <c r="U65" s="198"/>
      <c r="V65" s="198"/>
      <c r="W65" s="198"/>
      <c r="X65" s="263"/>
      <c r="Y65" s="134" t="s">
        <v>383</v>
      </c>
      <c r="Z65" s="119" t="s">
        <v>249</v>
      </c>
      <c r="AA65" s="119"/>
      <c r="AB65" s="137"/>
      <c r="AC65" s="134" t="s">
        <v>383</v>
      </c>
      <c r="AD65" s="119" t="s">
        <v>249</v>
      </c>
      <c r="AE65" s="119"/>
      <c r="AF65" s="137"/>
      <c r="AG65" s="109" t="str">
        <f>"ser_code = '" &amp; IF(A77="■",24,"") &amp; "'"</f>
        <v>ser_code = ''</v>
      </c>
      <c r="AH65" s="109"/>
      <c r="AI65" s="109" t="str">
        <f>"24:yakan_kinmu_code:" &amp; IF(I65="■",1,IF(M65="■",6,0))</f>
        <v>24:yakan_kinmu_code:0</v>
      </c>
      <c r="AJ65" s="109" t="str">
        <f>"24:field203:" &amp; IF(Y65="■",1,IF(Y66="■",2,0))</f>
        <v>24:field203:0</v>
      </c>
      <c r="AK65" s="109" t="str">
        <f>"21:waribiki_code:" &amp; IF(AC65="■",1,IF(AC66="■",2,0))</f>
        <v>21:waribiki_code:0</v>
      </c>
    </row>
    <row r="66" spans="1:37" ht="18.75" customHeight="1" x14ac:dyDescent="0.2">
      <c r="A66" s="139"/>
      <c r="B66" s="123"/>
      <c r="C66" s="140"/>
      <c r="D66" s="141"/>
      <c r="E66" s="128"/>
      <c r="F66" s="142"/>
      <c r="G66" s="143"/>
      <c r="H66" s="242" t="s">
        <v>93</v>
      </c>
      <c r="I66" s="175" t="s">
        <v>383</v>
      </c>
      <c r="J66" s="157" t="s">
        <v>250</v>
      </c>
      <c r="K66" s="157"/>
      <c r="L66" s="159"/>
      <c r="M66" s="160" t="s">
        <v>383</v>
      </c>
      <c r="N66" s="157" t="s">
        <v>281</v>
      </c>
      <c r="O66" s="157"/>
      <c r="P66" s="159"/>
      <c r="Q66" s="160" t="s">
        <v>383</v>
      </c>
      <c r="R66" s="207" t="s">
        <v>282</v>
      </c>
      <c r="S66" s="207"/>
      <c r="T66" s="158"/>
      <c r="U66" s="158"/>
      <c r="V66" s="158"/>
      <c r="W66" s="158"/>
      <c r="X66" s="166"/>
      <c r="Y66" s="118" t="s">
        <v>383</v>
      </c>
      <c r="Z66" s="126" t="s">
        <v>255</v>
      </c>
      <c r="AA66" s="147"/>
      <c r="AB66" s="148"/>
      <c r="AC66" s="118" t="s">
        <v>383</v>
      </c>
      <c r="AD66" s="126" t="s">
        <v>255</v>
      </c>
      <c r="AE66" s="147"/>
      <c r="AF66" s="148"/>
      <c r="AG66" s="109" t="str">
        <f>"24:sisetukbn_code:" &amp; IF(D76="■",1,IF(D77="■",2,IF(D78="■",3,IF(D79="■",4,0))))</f>
        <v>24:sisetukbn_code:0</v>
      </c>
      <c r="AI66" s="109" t="str">
        <f>"24:"&amp;IF(AND(I66="□",M66="□",Q66="□"),"ketu_kangos_code:0",IF(I66="■","ketu_kangos_code:1:ketu_kshoku_code:1",IF(M66="■","ketu_kangos_code:2","ketu_kangos_code:1")&amp;IF(Q66="■",":ketu_kshoku_code:2",":ketu_kshoku_code:1")))</f>
        <v>24:ketu_kangos_code:0</v>
      </c>
    </row>
    <row r="67" spans="1:37" ht="18.75" customHeight="1" x14ac:dyDescent="0.2">
      <c r="A67" s="139"/>
      <c r="B67" s="123"/>
      <c r="C67" s="140"/>
      <c r="D67" s="141"/>
      <c r="E67" s="128"/>
      <c r="F67" s="142"/>
      <c r="G67" s="143"/>
      <c r="H67" s="242" t="s">
        <v>98</v>
      </c>
      <c r="I67" s="175" t="s">
        <v>383</v>
      </c>
      <c r="J67" s="157" t="s">
        <v>265</v>
      </c>
      <c r="K67" s="158"/>
      <c r="L67" s="159"/>
      <c r="M67" s="160" t="s">
        <v>383</v>
      </c>
      <c r="N67" s="157" t="s">
        <v>266</v>
      </c>
      <c r="O67" s="162"/>
      <c r="P67" s="207"/>
      <c r="Q67" s="207"/>
      <c r="R67" s="207"/>
      <c r="S67" s="207"/>
      <c r="T67" s="158"/>
      <c r="U67" s="158"/>
      <c r="V67" s="158"/>
      <c r="W67" s="158"/>
      <c r="X67" s="166"/>
      <c r="Y67" s="154"/>
      <c r="Z67" s="147"/>
      <c r="AA67" s="147"/>
      <c r="AB67" s="148"/>
      <c r="AC67" s="154"/>
      <c r="AD67" s="147"/>
      <c r="AE67" s="147"/>
      <c r="AF67" s="148"/>
      <c r="AI67" s="109" t="str">
        <f>"24:unitcare_code:" &amp; IF(I67="■",1,IF(M67="■",2,0))</f>
        <v>24:unitcare_code:0</v>
      </c>
    </row>
    <row r="68" spans="1:37" s="109" customFormat="1" ht="18.75" customHeight="1" x14ac:dyDescent="0.2">
      <c r="A68" s="139"/>
      <c r="B68" s="123"/>
      <c r="C68" s="248"/>
      <c r="D68" s="249"/>
      <c r="E68" s="128"/>
      <c r="F68" s="142"/>
      <c r="G68" s="143"/>
      <c r="H68" s="364" t="s">
        <v>107</v>
      </c>
      <c r="I68" s="374" t="s">
        <v>383</v>
      </c>
      <c r="J68" s="350" t="s">
        <v>395</v>
      </c>
      <c r="K68" s="351"/>
      <c r="L68" s="352"/>
      <c r="M68" s="353" t="s">
        <v>383</v>
      </c>
      <c r="N68" s="350" t="s">
        <v>396</v>
      </c>
      <c r="O68" s="351"/>
      <c r="P68" s="351"/>
      <c r="Q68" s="351"/>
      <c r="R68" s="351"/>
      <c r="S68" s="351"/>
      <c r="T68" s="351"/>
      <c r="U68" s="351"/>
      <c r="V68" s="351"/>
      <c r="W68" s="351"/>
      <c r="X68" s="365"/>
      <c r="Y68" s="154"/>
      <c r="Z68" s="147"/>
      <c r="AA68" s="147"/>
      <c r="AB68" s="148"/>
      <c r="AC68" s="154"/>
      <c r="AD68" s="147"/>
      <c r="AE68" s="147"/>
      <c r="AF68" s="148"/>
      <c r="AI68" s="109" t="str">
        <f>"24:sintaikousoku_code:" &amp; IF(I68="■",1,IF(M68="■",2,0))</f>
        <v>24:sintaikousoku_code:0</v>
      </c>
    </row>
    <row r="69" spans="1:37" ht="19.5" customHeight="1" x14ac:dyDescent="0.2">
      <c r="A69" s="139"/>
      <c r="B69" s="123"/>
      <c r="C69" s="140"/>
      <c r="D69" s="141"/>
      <c r="E69" s="128"/>
      <c r="F69" s="142"/>
      <c r="G69" s="143"/>
      <c r="H69" s="348" t="s">
        <v>430</v>
      </c>
      <c r="I69" s="374" t="s">
        <v>383</v>
      </c>
      <c r="J69" s="350" t="s">
        <v>395</v>
      </c>
      <c r="K69" s="351"/>
      <c r="L69" s="352"/>
      <c r="M69" s="353" t="s">
        <v>383</v>
      </c>
      <c r="N69" s="350" t="s">
        <v>431</v>
      </c>
      <c r="O69" s="350"/>
      <c r="P69" s="350"/>
      <c r="Q69" s="355"/>
      <c r="R69" s="355"/>
      <c r="S69" s="355"/>
      <c r="T69" s="355"/>
      <c r="U69" s="355"/>
      <c r="V69" s="355"/>
      <c r="W69" s="355"/>
      <c r="X69" s="356"/>
      <c r="Y69" s="147"/>
      <c r="Z69" s="147"/>
      <c r="AA69" s="147"/>
      <c r="AB69" s="148"/>
      <c r="AC69" s="154"/>
      <c r="AD69" s="147"/>
      <c r="AE69" s="147"/>
      <c r="AF69" s="148"/>
      <c r="AI69" s="109" t="str">
        <f>"24:field223:" &amp; IF(I69="■",1,IF(M69="■",2,0))</f>
        <v>24:field223:0</v>
      </c>
    </row>
    <row r="70" spans="1:37" ht="19.5" customHeight="1" x14ac:dyDescent="0.2">
      <c r="A70" s="139"/>
      <c r="B70" s="123"/>
      <c r="C70" s="140"/>
      <c r="D70" s="141"/>
      <c r="E70" s="128"/>
      <c r="F70" s="142"/>
      <c r="G70" s="143"/>
      <c r="H70" s="348" t="s">
        <v>448</v>
      </c>
      <c r="I70" s="374" t="s">
        <v>383</v>
      </c>
      <c r="J70" s="381" t="s">
        <v>395</v>
      </c>
      <c r="K70" s="419"/>
      <c r="L70" s="382"/>
      <c r="M70" s="383" t="s">
        <v>383</v>
      </c>
      <c r="N70" s="381" t="s">
        <v>431</v>
      </c>
      <c r="O70" s="381"/>
      <c r="P70" s="381"/>
      <c r="Q70" s="436"/>
      <c r="R70" s="436"/>
      <c r="S70" s="436"/>
      <c r="T70" s="436"/>
      <c r="U70" s="436"/>
      <c r="V70" s="436"/>
      <c r="W70" s="436"/>
      <c r="X70" s="437"/>
      <c r="Y70" s="147"/>
      <c r="Z70" s="126"/>
      <c r="AA70" s="147"/>
      <c r="AB70" s="148"/>
      <c r="AC70" s="154"/>
      <c r="AD70" s="147"/>
      <c r="AE70" s="147"/>
      <c r="AF70" s="148"/>
      <c r="AI70" s="109" t="str">
        <f>"24:field232:" &amp; IF(I70="■",1,IF(M70="■",2,0))</f>
        <v>24:field232:0</v>
      </c>
    </row>
    <row r="71" spans="1:37" ht="18.75" customHeight="1" x14ac:dyDescent="0.2">
      <c r="A71" s="139"/>
      <c r="B71" s="123"/>
      <c r="C71" s="140"/>
      <c r="D71" s="141"/>
      <c r="E71" s="128"/>
      <c r="F71" s="142"/>
      <c r="G71" s="143"/>
      <c r="H71" s="743" t="s">
        <v>163</v>
      </c>
      <c r="I71" s="374" t="s">
        <v>383</v>
      </c>
      <c r="J71" s="746" t="s">
        <v>250</v>
      </c>
      <c r="K71" s="746"/>
      <c r="L71" s="747" t="s">
        <v>383</v>
      </c>
      <c r="M71" s="746" t="s">
        <v>267</v>
      </c>
      <c r="N71" s="746"/>
      <c r="O71" s="375"/>
      <c r="P71" s="375"/>
      <c r="Q71" s="375"/>
      <c r="R71" s="375"/>
      <c r="S71" s="375"/>
      <c r="T71" s="375"/>
      <c r="U71" s="375"/>
      <c r="V71" s="375"/>
      <c r="W71" s="375"/>
      <c r="X71" s="441"/>
      <c r="Y71" s="154"/>
      <c r="Z71" s="147"/>
      <c r="AA71" s="147"/>
      <c r="AB71" s="148"/>
      <c r="AC71" s="154"/>
      <c r="AD71" s="147"/>
      <c r="AE71" s="147"/>
      <c r="AF71" s="148"/>
      <c r="AI71" s="109" t="str">
        <f>"24:field189:" &amp; IF(I71="■",1,IF(L71="■",2,0))</f>
        <v>24:field189:0</v>
      </c>
    </row>
    <row r="72" spans="1:37" ht="18.75" customHeight="1" x14ac:dyDescent="0.2">
      <c r="A72" s="139"/>
      <c r="B72" s="123"/>
      <c r="C72" s="140"/>
      <c r="D72" s="141"/>
      <c r="E72" s="128"/>
      <c r="F72" s="142"/>
      <c r="G72" s="143"/>
      <c r="H72" s="744"/>
      <c r="I72" s="460" t="s">
        <v>383</v>
      </c>
      <c r="J72" s="746"/>
      <c r="K72" s="746"/>
      <c r="L72" s="747"/>
      <c r="M72" s="746"/>
      <c r="N72" s="746"/>
      <c r="O72" s="381"/>
      <c r="P72" s="381"/>
      <c r="Q72" s="381"/>
      <c r="R72" s="381"/>
      <c r="S72" s="381"/>
      <c r="T72" s="381"/>
      <c r="U72" s="381"/>
      <c r="V72" s="381"/>
      <c r="W72" s="381"/>
      <c r="X72" s="442"/>
      <c r="Y72" s="154"/>
      <c r="Z72" s="147"/>
      <c r="AA72" s="147"/>
      <c r="AB72" s="148"/>
      <c r="AC72" s="154"/>
      <c r="AD72" s="147"/>
      <c r="AE72" s="147"/>
      <c r="AF72" s="148"/>
      <c r="AI72" s="109"/>
    </row>
    <row r="73" spans="1:37" ht="18.75" customHeight="1" x14ac:dyDescent="0.2">
      <c r="A73" s="139"/>
      <c r="B73" s="123"/>
      <c r="C73" s="140"/>
      <c r="D73" s="141"/>
      <c r="E73" s="128"/>
      <c r="F73" s="142"/>
      <c r="G73" s="143"/>
      <c r="H73" s="364" t="s">
        <v>147</v>
      </c>
      <c r="I73" s="374" t="s">
        <v>383</v>
      </c>
      <c r="J73" s="350" t="s">
        <v>250</v>
      </c>
      <c r="K73" s="351"/>
      <c r="L73" s="353" t="s">
        <v>383</v>
      </c>
      <c r="M73" s="350" t="s">
        <v>267</v>
      </c>
      <c r="N73" s="420"/>
      <c r="O73" s="355"/>
      <c r="P73" s="355"/>
      <c r="Q73" s="355"/>
      <c r="R73" s="355"/>
      <c r="S73" s="355"/>
      <c r="T73" s="355"/>
      <c r="U73" s="355"/>
      <c r="V73" s="355"/>
      <c r="W73" s="355"/>
      <c r="X73" s="356"/>
      <c r="Y73" s="154"/>
      <c r="Z73" s="147"/>
      <c r="AA73" s="147"/>
      <c r="AB73" s="148"/>
      <c r="AC73" s="154"/>
      <c r="AD73" s="147"/>
      <c r="AE73" s="147"/>
      <c r="AF73" s="148"/>
      <c r="AI73" s="109" t="str">
        <f>"24:field151:" &amp; IF(I73="■",1,IF(L73="■",2,0))</f>
        <v>24:field151:0</v>
      </c>
    </row>
    <row r="74" spans="1:37" ht="18.75" customHeight="1" x14ac:dyDescent="0.2">
      <c r="A74" s="139"/>
      <c r="B74" s="123"/>
      <c r="C74" s="140"/>
      <c r="D74" s="141"/>
      <c r="E74" s="128"/>
      <c r="F74" s="142"/>
      <c r="G74" s="143"/>
      <c r="H74" s="364" t="s">
        <v>145</v>
      </c>
      <c r="I74" s="374" t="s">
        <v>383</v>
      </c>
      <c r="J74" s="350" t="s">
        <v>250</v>
      </c>
      <c r="K74" s="350"/>
      <c r="L74" s="353" t="s">
        <v>383</v>
      </c>
      <c r="M74" s="350" t="s">
        <v>268</v>
      </c>
      <c r="N74" s="350"/>
      <c r="O74" s="353" t="s">
        <v>383</v>
      </c>
      <c r="P74" s="350" t="s">
        <v>269</v>
      </c>
      <c r="Q74" s="420"/>
      <c r="R74" s="420"/>
      <c r="S74" s="420"/>
      <c r="T74" s="420"/>
      <c r="U74" s="420"/>
      <c r="V74" s="420"/>
      <c r="W74" s="420"/>
      <c r="X74" s="440"/>
      <c r="Y74" s="154"/>
      <c r="Z74" s="147"/>
      <c r="AA74" s="147"/>
      <c r="AB74" s="148"/>
      <c r="AC74" s="154"/>
      <c r="AD74" s="147"/>
      <c r="AE74" s="147"/>
      <c r="AF74" s="148"/>
      <c r="AI74" s="109" t="str">
        <f>"24:field185:" &amp; IF(I74="■",1,IF(L74="■",3,IF(O74="■",2,0)))</f>
        <v>24:field185:0</v>
      </c>
    </row>
    <row r="75" spans="1:37" ht="18.75" customHeight="1" x14ac:dyDescent="0.2">
      <c r="A75" s="139"/>
      <c r="B75" s="123"/>
      <c r="C75" s="140"/>
      <c r="D75" s="141"/>
      <c r="E75" s="128"/>
      <c r="F75" s="142"/>
      <c r="G75" s="143"/>
      <c r="H75" s="364" t="s">
        <v>99</v>
      </c>
      <c r="I75" s="374" t="s">
        <v>383</v>
      </c>
      <c r="J75" s="350" t="s">
        <v>250</v>
      </c>
      <c r="K75" s="351"/>
      <c r="L75" s="353" t="s">
        <v>383</v>
      </c>
      <c r="M75" s="350" t="s">
        <v>267</v>
      </c>
      <c r="N75" s="420"/>
      <c r="O75" s="355"/>
      <c r="P75" s="355"/>
      <c r="Q75" s="355"/>
      <c r="R75" s="355"/>
      <c r="S75" s="355"/>
      <c r="T75" s="355"/>
      <c r="U75" s="355"/>
      <c r="V75" s="355"/>
      <c r="W75" s="355"/>
      <c r="X75" s="356"/>
      <c r="Y75" s="154"/>
      <c r="Z75" s="147"/>
      <c r="AA75" s="147"/>
      <c r="AB75" s="148"/>
      <c r="AC75" s="154"/>
      <c r="AD75" s="147"/>
      <c r="AE75" s="147"/>
      <c r="AF75" s="148"/>
      <c r="AI75" s="109" t="str">
        <f>"24:kunren_code:" &amp; IF(I75="■",1,IF(L75="■",2,0))</f>
        <v>24:kunren_code:0</v>
      </c>
    </row>
    <row r="76" spans="1:37" ht="18.75" customHeight="1" x14ac:dyDescent="0.2">
      <c r="A76" s="139"/>
      <c r="B76" s="123"/>
      <c r="C76" s="140"/>
      <c r="D76" s="118" t="s">
        <v>383</v>
      </c>
      <c r="E76" s="128" t="s">
        <v>309</v>
      </c>
      <c r="F76" s="142"/>
      <c r="G76" s="143"/>
      <c r="H76" s="364" t="s">
        <v>132</v>
      </c>
      <c r="I76" s="374" t="s">
        <v>383</v>
      </c>
      <c r="J76" s="350" t="s">
        <v>250</v>
      </c>
      <c r="K76" s="351"/>
      <c r="L76" s="353" t="s">
        <v>383</v>
      </c>
      <c r="M76" s="350" t="s">
        <v>267</v>
      </c>
      <c r="N76" s="420"/>
      <c r="O76" s="355"/>
      <c r="P76" s="355"/>
      <c r="Q76" s="355"/>
      <c r="R76" s="355"/>
      <c r="S76" s="355"/>
      <c r="T76" s="355"/>
      <c r="U76" s="355"/>
      <c r="V76" s="355"/>
      <c r="W76" s="355"/>
      <c r="X76" s="356"/>
      <c r="Y76" s="154"/>
      <c r="Z76" s="147"/>
      <c r="AA76" s="147"/>
      <c r="AB76" s="148"/>
      <c r="AC76" s="154"/>
      <c r="AD76" s="147"/>
      <c r="AE76" s="147"/>
      <c r="AF76" s="148"/>
      <c r="AI76" s="109" t="str">
        <f>"24:kobetu_kunren_code:" &amp; IF(I76="■",1,IF(L76="■",2,0))</f>
        <v>24:kobetu_kunren_code:0</v>
      </c>
    </row>
    <row r="77" spans="1:37" ht="18.75" customHeight="1" x14ac:dyDescent="0.2">
      <c r="A77" s="125" t="s">
        <v>383</v>
      </c>
      <c r="B77" s="123">
        <v>24</v>
      </c>
      <c r="C77" s="140" t="s">
        <v>69</v>
      </c>
      <c r="D77" s="118" t="s">
        <v>383</v>
      </c>
      <c r="E77" s="128" t="s">
        <v>310</v>
      </c>
      <c r="F77" s="142"/>
      <c r="G77" s="143"/>
      <c r="H77" s="364" t="s">
        <v>486</v>
      </c>
      <c r="I77" s="374" t="s">
        <v>383</v>
      </c>
      <c r="J77" s="350" t="s">
        <v>250</v>
      </c>
      <c r="K77" s="351"/>
      <c r="L77" s="353" t="s">
        <v>383</v>
      </c>
      <c r="M77" s="350" t="s">
        <v>267</v>
      </c>
      <c r="N77" s="420"/>
      <c r="O77" s="351"/>
      <c r="P77" s="351"/>
      <c r="Q77" s="351"/>
      <c r="R77" s="351"/>
      <c r="S77" s="351"/>
      <c r="T77" s="351"/>
      <c r="U77" s="351"/>
      <c r="V77" s="351"/>
      <c r="W77" s="351"/>
      <c r="X77" s="365"/>
      <c r="Y77" s="154"/>
      <c r="Z77" s="147"/>
      <c r="AA77" s="147"/>
      <c r="AB77" s="148"/>
      <c r="AC77" s="154"/>
      <c r="AD77" s="147"/>
      <c r="AE77" s="147"/>
      <c r="AF77" s="148"/>
      <c r="AI77" s="109" t="str">
        <f>"24:jyakuninti_uke_code:" &amp; IF(I77="■",1,IF(L77="■",2,0))</f>
        <v>24:jyakuninti_uke_code:0</v>
      </c>
    </row>
    <row r="78" spans="1:37" ht="18.75" customHeight="1" x14ac:dyDescent="0.2">
      <c r="A78" s="139"/>
      <c r="B78" s="123"/>
      <c r="C78" s="140"/>
      <c r="D78" s="118" t="s">
        <v>383</v>
      </c>
      <c r="E78" s="128" t="s">
        <v>311</v>
      </c>
      <c r="F78" s="142"/>
      <c r="G78" s="143"/>
      <c r="H78" s="364" t="s">
        <v>95</v>
      </c>
      <c r="I78" s="374" t="s">
        <v>383</v>
      </c>
      <c r="J78" s="350" t="s">
        <v>265</v>
      </c>
      <c r="K78" s="351"/>
      <c r="L78" s="352"/>
      <c r="M78" s="353" t="s">
        <v>383</v>
      </c>
      <c r="N78" s="350" t="s">
        <v>266</v>
      </c>
      <c r="O78" s="355"/>
      <c r="P78" s="351"/>
      <c r="Q78" s="351"/>
      <c r="R78" s="351"/>
      <c r="S78" s="351"/>
      <c r="T78" s="351"/>
      <c r="U78" s="351"/>
      <c r="V78" s="351"/>
      <c r="W78" s="351"/>
      <c r="X78" s="365"/>
      <c r="Y78" s="154"/>
      <c r="Z78" s="147"/>
      <c r="AA78" s="147"/>
      <c r="AB78" s="148"/>
      <c r="AC78" s="154"/>
      <c r="AD78" s="147"/>
      <c r="AE78" s="147"/>
      <c r="AF78" s="148"/>
      <c r="AI78" s="109" t="str">
        <f>"24:sougei_code:" &amp; IF(I78="■",1,IF(M78="■",2,0))</f>
        <v>24:sougei_code:0</v>
      </c>
    </row>
    <row r="79" spans="1:37" ht="19.5" customHeight="1" x14ac:dyDescent="0.2">
      <c r="A79" s="139"/>
      <c r="B79" s="123"/>
      <c r="C79" s="140"/>
      <c r="D79" s="118" t="s">
        <v>383</v>
      </c>
      <c r="E79" s="128" t="s">
        <v>312</v>
      </c>
      <c r="F79" s="142"/>
      <c r="G79" s="143"/>
      <c r="H79" s="348" t="s">
        <v>433</v>
      </c>
      <c r="I79" s="374" t="s">
        <v>383</v>
      </c>
      <c r="J79" s="350" t="s">
        <v>250</v>
      </c>
      <c r="K79" s="350"/>
      <c r="L79" s="353" t="s">
        <v>383</v>
      </c>
      <c r="M79" s="350" t="s">
        <v>267</v>
      </c>
      <c r="N79" s="350"/>
      <c r="O79" s="355"/>
      <c r="P79" s="350"/>
      <c r="Q79" s="355"/>
      <c r="R79" s="355"/>
      <c r="S79" s="355"/>
      <c r="T79" s="355"/>
      <c r="U79" s="355"/>
      <c r="V79" s="355"/>
      <c r="W79" s="355"/>
      <c r="X79" s="356"/>
      <c r="Y79" s="147"/>
      <c r="Z79" s="147"/>
      <c r="AA79" s="147"/>
      <c r="AB79" s="148"/>
      <c r="AC79" s="154"/>
      <c r="AD79" s="147"/>
      <c r="AE79" s="147"/>
      <c r="AF79" s="148"/>
      <c r="AI79" s="109" t="str">
        <f>"24:field224:" &amp; IF(I79="■",1,IF(L79="■",2,0))</f>
        <v>24:field224:0</v>
      </c>
    </row>
    <row r="80" spans="1:37" ht="18.75" customHeight="1" x14ac:dyDescent="0.2">
      <c r="A80" s="139"/>
      <c r="B80" s="123"/>
      <c r="C80" s="140"/>
      <c r="D80" s="141"/>
      <c r="E80" s="128"/>
      <c r="F80" s="142"/>
      <c r="G80" s="143"/>
      <c r="H80" s="364" t="s">
        <v>112</v>
      </c>
      <c r="I80" s="374" t="s">
        <v>383</v>
      </c>
      <c r="J80" s="350" t="s">
        <v>250</v>
      </c>
      <c r="K80" s="351"/>
      <c r="L80" s="353" t="s">
        <v>383</v>
      </c>
      <c r="M80" s="350" t="s">
        <v>267</v>
      </c>
      <c r="N80" s="420"/>
      <c r="O80" s="351"/>
      <c r="P80" s="351"/>
      <c r="Q80" s="351"/>
      <c r="R80" s="351"/>
      <c r="S80" s="351"/>
      <c r="T80" s="351"/>
      <c r="U80" s="351"/>
      <c r="V80" s="351"/>
      <c r="W80" s="351"/>
      <c r="X80" s="365"/>
      <c r="Y80" s="154"/>
      <c r="Z80" s="147"/>
      <c r="AA80" s="147"/>
      <c r="AB80" s="148"/>
      <c r="AC80" s="154"/>
      <c r="AD80" s="147"/>
      <c r="AE80" s="147"/>
      <c r="AF80" s="148"/>
      <c r="AI80" s="109" t="str">
        <f>"24:ryouyoushoku_code:" &amp; IF(I80="■",1,IF(L80="■",2,0))</f>
        <v>24:ryouyoushoku_code:0</v>
      </c>
    </row>
    <row r="81" spans="1:36" ht="18.75" customHeight="1" x14ac:dyDescent="0.2">
      <c r="A81" s="139"/>
      <c r="B81" s="123"/>
      <c r="C81" s="140"/>
      <c r="D81" s="141"/>
      <c r="E81" s="128"/>
      <c r="F81" s="142"/>
      <c r="G81" s="143"/>
      <c r="H81" s="458" t="s">
        <v>116</v>
      </c>
      <c r="I81" s="374" t="s">
        <v>383</v>
      </c>
      <c r="J81" s="350" t="s">
        <v>250</v>
      </c>
      <c r="K81" s="350"/>
      <c r="L81" s="353" t="s">
        <v>383</v>
      </c>
      <c r="M81" s="350" t="s">
        <v>251</v>
      </c>
      <c r="N81" s="350"/>
      <c r="O81" s="353" t="s">
        <v>383</v>
      </c>
      <c r="P81" s="350" t="s">
        <v>252</v>
      </c>
      <c r="Q81" s="355"/>
      <c r="R81" s="355"/>
      <c r="S81" s="355"/>
      <c r="T81" s="355"/>
      <c r="U81" s="355"/>
      <c r="V81" s="355"/>
      <c r="W81" s="355"/>
      <c r="X81" s="356"/>
      <c r="Y81" s="154"/>
      <c r="Z81" s="147"/>
      <c r="AA81" s="147"/>
      <c r="AB81" s="148"/>
      <c r="AC81" s="154"/>
      <c r="AD81" s="147"/>
      <c r="AE81" s="147"/>
      <c r="AF81" s="148"/>
      <c r="AI81" s="109" t="str">
        <f>"24:ninti_senmoncare_code:" &amp; IF(I81="■",1,IF(O81="■",3,IF(L81="■",2,0)))</f>
        <v>24:ninti_senmoncare_code:0</v>
      </c>
    </row>
    <row r="82" spans="1:36" ht="18.75" customHeight="1" x14ac:dyDescent="0.2">
      <c r="A82" s="139"/>
      <c r="B82" s="123"/>
      <c r="C82" s="140"/>
      <c r="D82" s="141"/>
      <c r="E82" s="128"/>
      <c r="F82" s="142"/>
      <c r="G82" s="143"/>
      <c r="H82" s="435" t="s">
        <v>442</v>
      </c>
      <c r="I82" s="374" t="s">
        <v>383</v>
      </c>
      <c r="J82" s="350" t="s">
        <v>250</v>
      </c>
      <c r="K82" s="350"/>
      <c r="L82" s="353" t="s">
        <v>383</v>
      </c>
      <c r="M82" s="350" t="s">
        <v>251</v>
      </c>
      <c r="N82" s="350"/>
      <c r="O82" s="353" t="s">
        <v>383</v>
      </c>
      <c r="P82" s="350" t="s">
        <v>252</v>
      </c>
      <c r="Q82" s="355"/>
      <c r="R82" s="355"/>
      <c r="S82" s="355"/>
      <c r="T82" s="355"/>
      <c r="U82" s="410"/>
      <c r="V82" s="410"/>
      <c r="W82" s="410"/>
      <c r="X82" s="411"/>
      <c r="Y82" s="154"/>
      <c r="Z82" s="147"/>
      <c r="AA82" s="147"/>
      <c r="AB82" s="148"/>
      <c r="AC82" s="154"/>
      <c r="AD82" s="147"/>
      <c r="AE82" s="147"/>
      <c r="AF82" s="148"/>
      <c r="AI82" s="109" t="str">
        <f>"24:field225:" &amp; IF(I82="■",1,IF(L82="■",2,IF(O82="■",3,0)))</f>
        <v>24:field225:0</v>
      </c>
    </row>
    <row r="83" spans="1:36" ht="18.75" customHeight="1" x14ac:dyDescent="0.2">
      <c r="A83" s="139"/>
      <c r="B83" s="123"/>
      <c r="C83" s="140"/>
      <c r="D83" s="141"/>
      <c r="E83" s="128"/>
      <c r="F83" s="142"/>
      <c r="G83" s="143"/>
      <c r="H83" s="743" t="s">
        <v>232</v>
      </c>
      <c r="I83" s="747" t="s">
        <v>383</v>
      </c>
      <c r="J83" s="746" t="s">
        <v>250</v>
      </c>
      <c r="K83" s="746"/>
      <c r="L83" s="747" t="s">
        <v>383</v>
      </c>
      <c r="M83" s="746" t="s">
        <v>306</v>
      </c>
      <c r="N83" s="746"/>
      <c r="O83" s="747" t="s">
        <v>383</v>
      </c>
      <c r="P83" s="746" t="s">
        <v>307</v>
      </c>
      <c r="Q83" s="746"/>
      <c r="R83" s="747" t="s">
        <v>383</v>
      </c>
      <c r="S83" s="746" t="s">
        <v>308</v>
      </c>
      <c r="T83" s="746"/>
      <c r="U83" s="375"/>
      <c r="V83" s="375"/>
      <c r="W83" s="375"/>
      <c r="X83" s="441"/>
      <c r="Y83" s="154"/>
      <c r="Z83" s="147"/>
      <c r="AA83" s="147"/>
      <c r="AB83" s="148"/>
      <c r="AC83" s="154"/>
      <c r="AD83" s="147"/>
      <c r="AE83" s="147"/>
      <c r="AF83" s="148"/>
      <c r="AI83" s="109" t="str">
        <f>"24:serteikyo_kyoka_code:" &amp; IF(I83="■",1,IF(L83="■",6,IF(O83="■",5,IF(R83="■",7,0))))</f>
        <v>24:serteikyo_kyoka_code:0</v>
      </c>
    </row>
    <row r="84" spans="1:36" ht="18.75" customHeight="1" x14ac:dyDescent="0.2">
      <c r="A84" s="139"/>
      <c r="B84" s="123"/>
      <c r="C84" s="140"/>
      <c r="D84" s="141"/>
      <c r="E84" s="128"/>
      <c r="F84" s="142"/>
      <c r="G84" s="143"/>
      <c r="H84" s="744"/>
      <c r="I84" s="747"/>
      <c r="J84" s="746"/>
      <c r="K84" s="746"/>
      <c r="L84" s="747"/>
      <c r="M84" s="746"/>
      <c r="N84" s="746"/>
      <c r="O84" s="747"/>
      <c r="P84" s="746"/>
      <c r="Q84" s="746"/>
      <c r="R84" s="747"/>
      <c r="S84" s="746"/>
      <c r="T84" s="746"/>
      <c r="U84" s="381"/>
      <c r="V84" s="381"/>
      <c r="W84" s="381"/>
      <c r="X84" s="442"/>
      <c r="Y84" s="154"/>
      <c r="Z84" s="147"/>
      <c r="AA84" s="147"/>
      <c r="AB84" s="148"/>
      <c r="AC84" s="154"/>
      <c r="AD84" s="147"/>
      <c r="AE84" s="147"/>
      <c r="AF84" s="148"/>
      <c r="AI84" s="109"/>
    </row>
    <row r="85" spans="1:36" ht="18.75" customHeight="1" x14ac:dyDescent="0.2">
      <c r="A85" s="139"/>
      <c r="B85" s="123"/>
      <c r="C85" s="140"/>
      <c r="D85" s="141"/>
      <c r="E85" s="128"/>
      <c r="F85" s="142"/>
      <c r="G85" s="143"/>
      <c r="H85" s="743" t="s">
        <v>488</v>
      </c>
      <c r="I85" s="747" t="s">
        <v>383</v>
      </c>
      <c r="J85" s="746" t="s">
        <v>250</v>
      </c>
      <c r="K85" s="746"/>
      <c r="L85" s="747" t="s">
        <v>383</v>
      </c>
      <c r="M85" s="746" t="s">
        <v>306</v>
      </c>
      <c r="N85" s="746"/>
      <c r="O85" s="747" t="s">
        <v>383</v>
      </c>
      <c r="P85" s="746" t="s">
        <v>307</v>
      </c>
      <c r="Q85" s="746"/>
      <c r="R85" s="747" t="s">
        <v>383</v>
      </c>
      <c r="S85" s="746" t="s">
        <v>308</v>
      </c>
      <c r="T85" s="746"/>
      <c r="U85" s="375"/>
      <c r="V85" s="375"/>
      <c r="W85" s="375"/>
      <c r="X85" s="441"/>
      <c r="Y85" s="154"/>
      <c r="Z85" s="147"/>
      <c r="AA85" s="147"/>
      <c r="AB85" s="148"/>
      <c r="AC85" s="154"/>
      <c r="AD85" s="147"/>
      <c r="AE85" s="147"/>
      <c r="AF85" s="148"/>
      <c r="AI85" s="109" t="str">
        <f>"24:serteikyo_kyoka_kuushou_code:" &amp; IF(I85="■",1,IF(L85="■",6,IF(O85="■",5,IF(R85="■",7,0))))</f>
        <v>24:serteikyo_kyoka_kuushou_code:0</v>
      </c>
    </row>
    <row r="86" spans="1:36" ht="18.75" customHeight="1" x14ac:dyDescent="0.2">
      <c r="A86" s="139"/>
      <c r="B86" s="123"/>
      <c r="C86" s="140"/>
      <c r="D86" s="141"/>
      <c r="E86" s="128"/>
      <c r="F86" s="142"/>
      <c r="G86" s="143"/>
      <c r="H86" s="744"/>
      <c r="I86" s="747"/>
      <c r="J86" s="746"/>
      <c r="K86" s="746"/>
      <c r="L86" s="747"/>
      <c r="M86" s="746"/>
      <c r="N86" s="746"/>
      <c r="O86" s="747"/>
      <c r="P86" s="746"/>
      <c r="Q86" s="746"/>
      <c r="R86" s="747"/>
      <c r="S86" s="746"/>
      <c r="T86" s="746"/>
      <c r="U86" s="381"/>
      <c r="V86" s="381"/>
      <c r="W86" s="381"/>
      <c r="X86" s="442"/>
      <c r="Y86" s="154"/>
      <c r="Z86" s="147"/>
      <c r="AA86" s="147"/>
      <c r="AB86" s="148"/>
      <c r="AC86" s="154"/>
      <c r="AD86" s="147"/>
      <c r="AE86" s="147"/>
      <c r="AF86" s="148"/>
      <c r="AI86" s="109"/>
    </row>
    <row r="87" spans="1:36" ht="18.75" customHeight="1" x14ac:dyDescent="0.2">
      <c r="A87" s="139"/>
      <c r="B87" s="123"/>
      <c r="C87" s="140"/>
      <c r="D87" s="141"/>
      <c r="E87" s="128"/>
      <c r="F87" s="142"/>
      <c r="G87" s="143"/>
      <c r="H87" s="713" t="s">
        <v>805</v>
      </c>
      <c r="I87" s="837" t="s">
        <v>383</v>
      </c>
      <c r="J87" s="999" t="s">
        <v>250</v>
      </c>
      <c r="K87" s="999"/>
      <c r="L87" s="1000" t="s">
        <v>383</v>
      </c>
      <c r="M87" s="999" t="s">
        <v>267</v>
      </c>
      <c r="N87" s="999"/>
      <c r="O87" s="375"/>
      <c r="P87" s="375"/>
      <c r="Q87" s="375"/>
      <c r="R87" s="375"/>
      <c r="S87" s="375"/>
      <c r="T87" s="375"/>
      <c r="U87" s="375"/>
      <c r="V87" s="375"/>
      <c r="W87" s="375"/>
      <c r="X87" s="441"/>
      <c r="Y87" s="154"/>
      <c r="Z87" s="147"/>
      <c r="AA87" s="147"/>
      <c r="AB87" s="148"/>
      <c r="AC87" s="154"/>
      <c r="AD87" s="147"/>
      <c r="AE87" s="147"/>
      <c r="AF87" s="148"/>
      <c r="AI87" s="109" t="str">
        <f>"24:field221:" &amp; IF(I87="■",1,IF(L87="■",2,0))</f>
        <v>24:field221:0</v>
      </c>
    </row>
    <row r="88" spans="1:36" ht="18.75" customHeight="1" x14ac:dyDescent="0.2">
      <c r="A88" s="139"/>
      <c r="B88" s="123"/>
      <c r="C88" s="140"/>
      <c r="D88" s="141"/>
      <c r="E88" s="128"/>
      <c r="F88" s="142"/>
      <c r="G88" s="143"/>
      <c r="H88" s="737"/>
      <c r="I88" s="1001"/>
      <c r="J88" s="795"/>
      <c r="K88" s="795"/>
      <c r="L88" s="793"/>
      <c r="M88" s="795"/>
      <c r="N88" s="795"/>
      <c r="O88" s="381"/>
      <c r="P88" s="381"/>
      <c r="Q88" s="381"/>
      <c r="R88" s="381"/>
      <c r="S88" s="381"/>
      <c r="T88" s="381"/>
      <c r="U88" s="381"/>
      <c r="V88" s="381"/>
      <c r="W88" s="381"/>
      <c r="X88" s="442"/>
      <c r="Y88" s="154"/>
      <c r="Z88" s="147"/>
      <c r="AA88" s="147"/>
      <c r="AB88" s="148"/>
      <c r="AC88" s="154"/>
      <c r="AD88" s="147"/>
      <c r="AE88" s="147"/>
      <c r="AF88" s="148"/>
    </row>
    <row r="89" spans="1:36" s="621" customFormat="1" ht="27" customHeight="1" x14ac:dyDescent="0.2">
      <c r="A89" s="139"/>
      <c r="B89" s="670"/>
      <c r="C89" s="140"/>
      <c r="D89" s="141"/>
      <c r="E89" s="128"/>
      <c r="F89" s="142"/>
      <c r="G89" s="143"/>
      <c r="H89" s="713" t="s">
        <v>790</v>
      </c>
      <c r="I89" s="642" t="s">
        <v>383</v>
      </c>
      <c r="J89" s="616" t="s">
        <v>627</v>
      </c>
      <c r="K89" s="616"/>
      <c r="L89" s="615"/>
      <c r="M89" s="644" t="s">
        <v>383</v>
      </c>
      <c r="N89" s="616" t="s">
        <v>791</v>
      </c>
      <c r="O89" s="617"/>
      <c r="P89" s="615"/>
      <c r="Q89" s="644" t="s">
        <v>383</v>
      </c>
      <c r="R89" s="618" t="s">
        <v>792</v>
      </c>
      <c r="S89" s="615"/>
      <c r="T89" s="615"/>
      <c r="U89" s="615"/>
      <c r="V89" s="618"/>
      <c r="W89" s="619"/>
      <c r="X89" s="620"/>
      <c r="Y89" s="154"/>
      <c r="Z89" s="147"/>
      <c r="AA89" s="147"/>
      <c r="AB89" s="148"/>
      <c r="AC89" s="154"/>
      <c r="AD89" s="147"/>
      <c r="AE89" s="147"/>
      <c r="AF89" s="148"/>
    </row>
    <row r="90" spans="1:36" s="621" customFormat="1" ht="30.6" customHeight="1" x14ac:dyDescent="0.2">
      <c r="A90" s="139"/>
      <c r="B90" s="670"/>
      <c r="C90" s="140"/>
      <c r="D90" s="141"/>
      <c r="E90" s="128"/>
      <c r="F90" s="142"/>
      <c r="G90" s="143"/>
      <c r="H90" s="714"/>
      <c r="I90" s="645" t="s">
        <v>383</v>
      </c>
      <c r="J90" s="623" t="s">
        <v>793</v>
      </c>
      <c r="K90" s="623"/>
      <c r="L90" s="622"/>
      <c r="M90" s="645" t="s">
        <v>383</v>
      </c>
      <c r="N90" s="623" t="s">
        <v>794</v>
      </c>
      <c r="O90" s="624"/>
      <c r="P90" s="622"/>
      <c r="Q90" s="645" t="s">
        <v>383</v>
      </c>
      <c r="R90" s="623" t="s">
        <v>795</v>
      </c>
      <c r="S90" s="622"/>
      <c r="T90" s="623"/>
      <c r="U90" s="645" t="s">
        <v>383</v>
      </c>
      <c r="V90" s="623" t="s">
        <v>796</v>
      </c>
      <c r="W90" s="625"/>
      <c r="X90" s="626"/>
      <c r="Y90" s="154"/>
      <c r="Z90" s="147"/>
      <c r="AA90" s="147"/>
      <c r="AB90" s="148"/>
      <c r="AC90" s="154"/>
      <c r="AD90" s="147"/>
      <c r="AE90" s="147"/>
      <c r="AF90" s="148"/>
    </row>
    <row r="91" spans="1:36" ht="18.75" customHeight="1" x14ac:dyDescent="0.2">
      <c r="A91" s="129"/>
      <c r="B91" s="116"/>
      <c r="C91" s="130"/>
      <c r="D91" s="131"/>
      <c r="E91" s="121"/>
      <c r="F91" s="132"/>
      <c r="G91" s="121"/>
      <c r="H91" s="226" t="s">
        <v>97</v>
      </c>
      <c r="I91" s="175" t="s">
        <v>383</v>
      </c>
      <c r="J91" s="197" t="s">
        <v>300</v>
      </c>
      <c r="K91" s="198"/>
      <c r="L91" s="199"/>
      <c r="M91" s="200" t="s">
        <v>383</v>
      </c>
      <c r="N91" s="197" t="s">
        <v>301</v>
      </c>
      <c r="O91" s="235"/>
      <c r="P91" s="198"/>
      <c r="Q91" s="198"/>
      <c r="R91" s="198"/>
      <c r="S91" s="198"/>
      <c r="T91" s="198"/>
      <c r="U91" s="198"/>
      <c r="V91" s="198"/>
      <c r="W91" s="198"/>
      <c r="X91" s="263"/>
      <c r="Y91" s="134" t="s">
        <v>383</v>
      </c>
      <c r="Z91" s="119" t="s">
        <v>249</v>
      </c>
      <c r="AA91" s="119"/>
      <c r="AB91" s="137"/>
      <c r="AC91" s="816"/>
      <c r="AD91" s="817"/>
      <c r="AE91" s="817"/>
      <c r="AF91" s="818"/>
      <c r="AG91" s="109" t="str">
        <f>"ser_code = '" &amp; IF(A101="■",25,"") &amp; "'"</f>
        <v>ser_code = ''</v>
      </c>
      <c r="AH91" s="109" t="str">
        <f>"25:jininkbn_code:" &amp; IF(F101="■",1,IF(F102="■",2,0))</f>
        <v>25:jininkbn_code:0</v>
      </c>
      <c r="AI91" s="109" t="str">
        <f>"25:yakan_kinmu_code:" &amp; IF(I91="■",1,IF(M91="■",6,0))</f>
        <v>25:yakan_kinmu_code:0</v>
      </c>
      <c r="AJ91" s="109" t="str">
        <f>"25:field203:" &amp; IF(Y91="■",1,IF(Y92="■",2,0))</f>
        <v>25:field203:0</v>
      </c>
    </row>
    <row r="92" spans="1:36" ht="18.75" customHeight="1" x14ac:dyDescent="0.2">
      <c r="A92" s="139"/>
      <c r="B92" s="123"/>
      <c r="C92" s="140"/>
      <c r="D92" s="141"/>
      <c r="E92" s="128"/>
      <c r="F92" s="142"/>
      <c r="G92" s="128"/>
      <c r="H92" s="741" t="s">
        <v>93</v>
      </c>
      <c r="I92" s="175" t="s">
        <v>383</v>
      </c>
      <c r="J92" s="126" t="s">
        <v>250</v>
      </c>
      <c r="K92" s="126"/>
      <c r="L92" s="220"/>
      <c r="M92" s="118" t="s">
        <v>383</v>
      </c>
      <c r="N92" s="126" t="s">
        <v>289</v>
      </c>
      <c r="O92" s="126"/>
      <c r="P92" s="220"/>
      <c r="Q92" s="118" t="s">
        <v>383</v>
      </c>
      <c r="R92" s="108" t="s">
        <v>290</v>
      </c>
      <c r="U92" s="118" t="s">
        <v>383</v>
      </c>
      <c r="V92" s="108" t="s">
        <v>291</v>
      </c>
      <c r="X92" s="178"/>
      <c r="Y92" s="118" t="s">
        <v>383</v>
      </c>
      <c r="Z92" s="126" t="s">
        <v>255</v>
      </c>
      <c r="AA92" s="147"/>
      <c r="AB92" s="148"/>
      <c r="AC92" s="819"/>
      <c r="AD92" s="820"/>
      <c r="AE92" s="820"/>
      <c r="AF92" s="821"/>
      <c r="AG92" s="109" t="str">
        <f>"25:sisetukbn_code:" &amp; IF(D101="■",1,IF(D102="■",2,0))</f>
        <v>25:sisetukbn_code:0</v>
      </c>
      <c r="AH92" s="109"/>
      <c r="AI92" s="109" t="str">
        <f>"25:"&amp;IF(AND(I92="□",M92="□",Q92="□",U92="□",I93="□",M93="□",Q93="□"),"ketu_doctor_code:0",IF(I92="■","ketu_doctor_code:1:ketu_kangos_code:1:ketu_kshoku_code:1:ketu_rryoho_code:1:ketu_sryoho_code:1:ketu_gengo_code:1",
IF(M92="■","ketu_doctor_code:2","ketu_doctor_code:1")
&amp;IF(Q92="■",":ketu_kangos_code:2",":ketu_kangos_code:1")
&amp;IF(U92="■",":ketu_kshoku_code:2",":ketu_kshoku_code:1")
&amp;IF(I93="■",":ketu_rryoho_code:2",":ketu_rryoho_code:1")
&amp;IF(M93="■",":ketu_sryoho_code:2",":ketu_sryoho_code:1")
&amp;IF(Q93="■",":ketu_gengo_code:2",":ketu_gengo_code:1")))</f>
        <v>25:ketu_doctor_code:0</v>
      </c>
      <c r="AJ92" s="109"/>
    </row>
    <row r="93" spans="1:36" ht="18.75" customHeight="1" x14ac:dyDescent="0.2">
      <c r="A93" s="139"/>
      <c r="B93" s="123"/>
      <c r="C93" s="140"/>
      <c r="D93" s="141"/>
      <c r="E93" s="128"/>
      <c r="F93" s="142"/>
      <c r="G93" s="128"/>
      <c r="H93" s="742"/>
      <c r="I93" s="125" t="s">
        <v>383</v>
      </c>
      <c r="J93" s="169" t="s">
        <v>292</v>
      </c>
      <c r="K93" s="151"/>
      <c r="L93" s="151"/>
      <c r="M93" s="203" t="s">
        <v>383</v>
      </c>
      <c r="N93" s="169" t="s">
        <v>293</v>
      </c>
      <c r="O93" s="151"/>
      <c r="P93" s="151"/>
      <c r="Q93" s="203" t="s">
        <v>383</v>
      </c>
      <c r="R93" s="169" t="s">
        <v>294</v>
      </c>
      <c r="S93" s="151"/>
      <c r="T93" s="151"/>
      <c r="U93" s="151"/>
      <c r="V93" s="151"/>
      <c r="W93" s="151"/>
      <c r="X93" s="238"/>
      <c r="Y93" s="154"/>
      <c r="Z93" s="147"/>
      <c r="AA93" s="147"/>
      <c r="AB93" s="148"/>
      <c r="AC93" s="819"/>
      <c r="AD93" s="820"/>
      <c r="AE93" s="820"/>
      <c r="AF93" s="821"/>
      <c r="AG93" s="109"/>
      <c r="AH93" s="109"/>
      <c r="AI93" s="109"/>
      <c r="AJ93" s="109"/>
    </row>
    <row r="94" spans="1:36" ht="18.75" customHeight="1" x14ac:dyDescent="0.2">
      <c r="A94" s="139"/>
      <c r="B94" s="123"/>
      <c r="C94" s="140"/>
      <c r="D94" s="141"/>
      <c r="E94" s="128"/>
      <c r="F94" s="142"/>
      <c r="G94" s="128"/>
      <c r="H94" s="242" t="s">
        <v>98</v>
      </c>
      <c r="I94" s="175" t="s">
        <v>383</v>
      </c>
      <c r="J94" s="157" t="s">
        <v>265</v>
      </c>
      <c r="K94" s="158"/>
      <c r="L94" s="159"/>
      <c r="M94" s="160" t="s">
        <v>383</v>
      </c>
      <c r="N94" s="157" t="s">
        <v>266</v>
      </c>
      <c r="O94" s="162"/>
      <c r="P94" s="158"/>
      <c r="Q94" s="158"/>
      <c r="R94" s="158"/>
      <c r="S94" s="158"/>
      <c r="T94" s="158"/>
      <c r="U94" s="158"/>
      <c r="V94" s="158"/>
      <c r="W94" s="158"/>
      <c r="X94" s="166"/>
      <c r="Y94" s="154"/>
      <c r="Z94" s="147"/>
      <c r="AA94" s="147"/>
      <c r="AB94" s="148"/>
      <c r="AC94" s="819"/>
      <c r="AD94" s="820"/>
      <c r="AE94" s="820"/>
      <c r="AF94" s="821"/>
      <c r="AI94" s="109" t="str">
        <f>"25:unitcare_code:" &amp; IF(I94="■",1,IF(M94="■",2,0))</f>
        <v>25:unitcare_code:0</v>
      </c>
    </row>
    <row r="95" spans="1:36" s="109" customFormat="1" ht="18.75" customHeight="1" x14ac:dyDescent="0.2">
      <c r="A95" s="139"/>
      <c r="B95" s="123"/>
      <c r="C95" s="248"/>
      <c r="D95" s="249"/>
      <c r="E95" s="128"/>
      <c r="F95" s="142"/>
      <c r="G95" s="143"/>
      <c r="H95" s="364" t="s">
        <v>107</v>
      </c>
      <c r="I95" s="349" t="s">
        <v>383</v>
      </c>
      <c r="J95" s="350" t="s">
        <v>395</v>
      </c>
      <c r="K95" s="351"/>
      <c r="L95" s="352"/>
      <c r="M95" s="353" t="s">
        <v>383</v>
      </c>
      <c r="N95" s="350" t="s">
        <v>396</v>
      </c>
      <c r="O95" s="351"/>
      <c r="P95" s="351"/>
      <c r="Q95" s="351"/>
      <c r="R95" s="351"/>
      <c r="S95" s="351"/>
      <c r="T95" s="351"/>
      <c r="U95" s="351"/>
      <c r="V95" s="351"/>
      <c r="W95" s="351"/>
      <c r="X95" s="365"/>
      <c r="Y95" s="154"/>
      <c r="Z95" s="147"/>
      <c r="AA95" s="147"/>
      <c r="AB95" s="148"/>
      <c r="AC95" s="819"/>
      <c r="AD95" s="820"/>
      <c r="AE95" s="820"/>
      <c r="AF95" s="821"/>
      <c r="AI95" s="109" t="str">
        <f>"25:sintaikousoku_code:" &amp; IF(I95="■",1,IF(M95="■",2,0))</f>
        <v>25:sintaikousoku_code:0</v>
      </c>
    </row>
    <row r="96" spans="1:36" ht="19.5" customHeight="1" x14ac:dyDescent="0.2">
      <c r="A96" s="139"/>
      <c r="B96" s="123"/>
      <c r="C96" s="140"/>
      <c r="D96" s="141"/>
      <c r="E96" s="128"/>
      <c r="F96" s="142"/>
      <c r="G96" s="143"/>
      <c r="H96" s="155" t="s">
        <v>430</v>
      </c>
      <c r="I96" s="175" t="s">
        <v>383</v>
      </c>
      <c r="J96" s="157" t="s">
        <v>395</v>
      </c>
      <c r="K96" s="158"/>
      <c r="L96" s="159"/>
      <c r="M96" s="160" t="s">
        <v>383</v>
      </c>
      <c r="N96" s="157" t="s">
        <v>431</v>
      </c>
      <c r="O96" s="157"/>
      <c r="P96" s="157"/>
      <c r="Q96" s="162"/>
      <c r="R96" s="162"/>
      <c r="S96" s="162"/>
      <c r="T96" s="162"/>
      <c r="U96" s="162"/>
      <c r="V96" s="162"/>
      <c r="W96" s="162"/>
      <c r="X96" s="163"/>
      <c r="Y96" s="147"/>
      <c r="Z96" s="147"/>
      <c r="AA96" s="147"/>
      <c r="AB96" s="148"/>
      <c r="AC96" s="819"/>
      <c r="AD96" s="820"/>
      <c r="AE96" s="820"/>
      <c r="AF96" s="821"/>
      <c r="AI96" s="109" t="str">
        <f>"25:field223:" &amp; IF(I96="■",1,IF(M96="■",2,0))</f>
        <v>25:field223:0</v>
      </c>
    </row>
    <row r="97" spans="1:36" ht="19.5" customHeight="1" x14ac:dyDescent="0.2">
      <c r="A97" s="139"/>
      <c r="B97" s="123"/>
      <c r="C97" s="140"/>
      <c r="D97" s="141"/>
      <c r="E97" s="128"/>
      <c r="F97" s="142"/>
      <c r="G97" s="143"/>
      <c r="H97" s="155" t="s">
        <v>448</v>
      </c>
      <c r="I97" s="175" t="s">
        <v>383</v>
      </c>
      <c r="J97" s="169" t="s">
        <v>395</v>
      </c>
      <c r="K97" s="179"/>
      <c r="L97" s="254"/>
      <c r="M97" s="203" t="s">
        <v>383</v>
      </c>
      <c r="N97" s="169" t="s">
        <v>431</v>
      </c>
      <c r="O97" s="169"/>
      <c r="P97" s="169"/>
      <c r="Q97" s="152"/>
      <c r="R97" s="152"/>
      <c r="S97" s="152"/>
      <c r="T97" s="152"/>
      <c r="U97" s="152"/>
      <c r="V97" s="152"/>
      <c r="W97" s="152"/>
      <c r="X97" s="153"/>
      <c r="Y97" s="147"/>
      <c r="Z97" s="126"/>
      <c r="AA97" s="147"/>
      <c r="AB97" s="148"/>
      <c r="AC97" s="819"/>
      <c r="AD97" s="820"/>
      <c r="AE97" s="820"/>
      <c r="AF97" s="821"/>
      <c r="AI97" s="109" t="str">
        <f>"25:field232:" &amp; IF(I97="■",1,IF(M97="■",2,0))</f>
        <v>25:field232:0</v>
      </c>
    </row>
    <row r="98" spans="1:36" s="1" customFormat="1" ht="19.5" customHeight="1" x14ac:dyDescent="0.2">
      <c r="A98" s="88"/>
      <c r="B98" s="91"/>
      <c r="C98" s="87"/>
      <c r="D98" s="89"/>
      <c r="E98" s="90"/>
      <c r="F98" s="101"/>
      <c r="G98" s="100"/>
      <c r="H98" s="348" t="s">
        <v>638</v>
      </c>
      <c r="I98" s="406" t="s">
        <v>383</v>
      </c>
      <c r="J98" s="381" t="s">
        <v>624</v>
      </c>
      <c r="K98" s="472"/>
      <c r="L98" s="382"/>
      <c r="M98" s="408" t="s">
        <v>383</v>
      </c>
      <c r="N98" s="381" t="s">
        <v>625</v>
      </c>
      <c r="O98" s="473"/>
      <c r="P98" s="381"/>
      <c r="Q98" s="474"/>
      <c r="R98" s="474"/>
      <c r="S98" s="474"/>
      <c r="T98" s="474"/>
      <c r="U98" s="474"/>
      <c r="V98" s="474"/>
      <c r="W98" s="474"/>
      <c r="X98" s="475"/>
      <c r="Y98" s="85"/>
      <c r="Z98" s="2"/>
      <c r="AA98" s="92"/>
      <c r="AB98" s="102"/>
      <c r="AC98" s="819"/>
      <c r="AD98" s="820"/>
      <c r="AE98" s="820"/>
      <c r="AF98" s="821"/>
      <c r="AI98" s="109" t="str">
        <f>"25:field242:" &amp; IF(I98="■",1,IF(M98="■",2,0))</f>
        <v>25:field242:0</v>
      </c>
    </row>
    <row r="99" spans="1:36" ht="18.75" customHeight="1" x14ac:dyDescent="0.2">
      <c r="A99" s="139"/>
      <c r="B99" s="123"/>
      <c r="C99" s="140"/>
      <c r="D99" s="141"/>
      <c r="E99" s="128"/>
      <c r="F99" s="142"/>
      <c r="G99" s="128"/>
      <c r="H99" s="242" t="s">
        <v>111</v>
      </c>
      <c r="I99" s="175" t="s">
        <v>383</v>
      </c>
      <c r="J99" s="157" t="s">
        <v>250</v>
      </c>
      <c r="K99" s="158"/>
      <c r="L99" s="160" t="s">
        <v>383</v>
      </c>
      <c r="M99" s="157" t="s">
        <v>267</v>
      </c>
      <c r="N99" s="207"/>
      <c r="O99" s="158"/>
      <c r="P99" s="158"/>
      <c r="Q99" s="158"/>
      <c r="R99" s="158"/>
      <c r="S99" s="158"/>
      <c r="T99" s="158"/>
      <c r="U99" s="158"/>
      <c r="V99" s="158"/>
      <c r="W99" s="158"/>
      <c r="X99" s="166"/>
      <c r="Y99" s="154"/>
      <c r="Z99" s="147"/>
      <c r="AA99" s="147"/>
      <c r="AB99" s="148"/>
      <c r="AC99" s="819"/>
      <c r="AD99" s="820"/>
      <c r="AE99" s="820"/>
      <c r="AF99" s="821"/>
      <c r="AI99" s="109" t="str">
        <f>"25:yakinhaiti_code:" &amp; IF(I99="■",1,IF(L99="■",2,0))</f>
        <v>25:yakinhaiti_code:0</v>
      </c>
    </row>
    <row r="100" spans="1:36" ht="18.75" customHeight="1" x14ac:dyDescent="0.2">
      <c r="A100" s="139"/>
      <c r="B100" s="123"/>
      <c r="C100" s="140"/>
      <c r="D100" s="141"/>
      <c r="E100" s="128"/>
      <c r="F100" s="142"/>
      <c r="G100" s="128"/>
      <c r="H100" s="242" t="s">
        <v>486</v>
      </c>
      <c r="I100" s="175" t="s">
        <v>383</v>
      </c>
      <c r="J100" s="157" t="s">
        <v>250</v>
      </c>
      <c r="K100" s="158"/>
      <c r="L100" s="160" t="s">
        <v>383</v>
      </c>
      <c r="M100" s="157" t="s">
        <v>267</v>
      </c>
      <c r="N100" s="207"/>
      <c r="O100" s="158"/>
      <c r="P100" s="158"/>
      <c r="Q100" s="158"/>
      <c r="R100" s="158"/>
      <c r="S100" s="158"/>
      <c r="T100" s="158"/>
      <c r="U100" s="158"/>
      <c r="V100" s="158"/>
      <c r="W100" s="158"/>
      <c r="X100" s="166"/>
      <c r="Y100" s="154"/>
      <c r="Z100" s="147"/>
      <c r="AA100" s="147"/>
      <c r="AB100" s="148"/>
      <c r="AC100" s="819"/>
      <c r="AD100" s="820"/>
      <c r="AE100" s="820"/>
      <c r="AF100" s="821"/>
      <c r="AI100" s="109" t="str">
        <f>"25:jyakuninti_uke_code:" &amp; IF(I100="■",1,IF(L100="■",2,0))</f>
        <v>25:jyakuninti_uke_code:0</v>
      </c>
    </row>
    <row r="101" spans="1:36" ht="18.75" customHeight="1" x14ac:dyDescent="0.2">
      <c r="A101" s="125" t="s">
        <v>383</v>
      </c>
      <c r="B101" s="123">
        <v>25</v>
      </c>
      <c r="C101" s="140" t="s">
        <v>489</v>
      </c>
      <c r="D101" s="125" t="s">
        <v>383</v>
      </c>
      <c r="E101" s="128" t="s">
        <v>786</v>
      </c>
      <c r="F101" s="125" t="s">
        <v>383</v>
      </c>
      <c r="G101" s="128" t="s">
        <v>313</v>
      </c>
      <c r="H101" s="242" t="s">
        <v>218</v>
      </c>
      <c r="I101" s="175" t="s">
        <v>383</v>
      </c>
      <c r="J101" s="157" t="s">
        <v>250</v>
      </c>
      <c r="K101" s="157"/>
      <c r="L101" s="203" t="s">
        <v>383</v>
      </c>
      <c r="M101" s="157" t="s">
        <v>251</v>
      </c>
      <c r="N101" s="157"/>
      <c r="O101" s="160" t="s">
        <v>383</v>
      </c>
      <c r="P101" s="157" t="s">
        <v>252</v>
      </c>
      <c r="Q101" s="162"/>
      <c r="R101" s="157"/>
      <c r="S101" s="157"/>
      <c r="T101" s="157"/>
      <c r="U101" s="157"/>
      <c r="V101" s="157"/>
      <c r="W101" s="157"/>
      <c r="X101" s="165"/>
      <c r="Y101" s="154"/>
      <c r="Z101" s="147"/>
      <c r="AA101" s="147"/>
      <c r="AB101" s="148"/>
      <c r="AC101" s="819"/>
      <c r="AD101" s="820"/>
      <c r="AE101" s="820"/>
      <c r="AF101" s="821"/>
      <c r="AI101" s="109" t="str">
        <f>"25:zaitaku_hukki_code:" &amp; IF(I101="■",1,IF(L101="■",2,IF(O101="■",3,0)))</f>
        <v>25:zaitaku_hukki_code:0</v>
      </c>
    </row>
    <row r="102" spans="1:36" ht="18.75" customHeight="1" x14ac:dyDescent="0.2">
      <c r="A102" s="139"/>
      <c r="B102" s="123"/>
      <c r="C102" s="140"/>
      <c r="D102" s="141"/>
      <c r="E102" s="128"/>
      <c r="F102" s="125" t="s">
        <v>383</v>
      </c>
      <c r="G102" s="128" t="s">
        <v>314</v>
      </c>
      <c r="H102" s="242" t="s">
        <v>95</v>
      </c>
      <c r="I102" s="175" t="s">
        <v>383</v>
      </c>
      <c r="J102" s="157" t="s">
        <v>265</v>
      </c>
      <c r="K102" s="158"/>
      <c r="L102" s="159"/>
      <c r="M102" s="160" t="s">
        <v>383</v>
      </c>
      <c r="N102" s="157" t="s">
        <v>266</v>
      </c>
      <c r="O102" s="162"/>
      <c r="P102" s="158"/>
      <c r="Q102" s="158"/>
      <c r="R102" s="158"/>
      <c r="S102" s="158"/>
      <c r="T102" s="158"/>
      <c r="U102" s="158"/>
      <c r="V102" s="158"/>
      <c r="W102" s="158"/>
      <c r="X102" s="166"/>
      <c r="Y102" s="154"/>
      <c r="Z102" s="147"/>
      <c r="AA102" s="147"/>
      <c r="AB102" s="148"/>
      <c r="AC102" s="819"/>
      <c r="AD102" s="820"/>
      <c r="AE102" s="820"/>
      <c r="AF102" s="821"/>
      <c r="AI102" s="109" t="str">
        <f>"25:sougei_code:" &amp; IF(I102="■",1,IF(M102="■",2,0))</f>
        <v>25:sougei_code:0</v>
      </c>
    </row>
    <row r="103" spans="1:36" ht="19.5" customHeight="1" x14ac:dyDescent="0.2">
      <c r="A103" s="139"/>
      <c r="B103" s="123"/>
      <c r="C103" s="140"/>
      <c r="D103" s="141"/>
      <c r="E103" s="128"/>
      <c r="F103" s="142"/>
      <c r="G103" s="128"/>
      <c r="H103" s="155" t="s">
        <v>433</v>
      </c>
      <c r="I103" s="175" t="s">
        <v>383</v>
      </c>
      <c r="J103" s="157" t="s">
        <v>250</v>
      </c>
      <c r="K103" s="157"/>
      <c r="L103" s="160" t="s">
        <v>383</v>
      </c>
      <c r="M103" s="157" t="s">
        <v>267</v>
      </c>
      <c r="N103" s="157"/>
      <c r="O103" s="162"/>
      <c r="P103" s="157"/>
      <c r="Q103" s="162"/>
      <c r="R103" s="162"/>
      <c r="S103" s="162"/>
      <c r="T103" s="162"/>
      <c r="U103" s="162"/>
      <c r="V103" s="162"/>
      <c r="W103" s="162"/>
      <c r="X103" s="163"/>
      <c r="Y103" s="147"/>
      <c r="Z103" s="147"/>
      <c r="AA103" s="147"/>
      <c r="AB103" s="148"/>
      <c r="AC103" s="819"/>
      <c r="AD103" s="820"/>
      <c r="AE103" s="820"/>
      <c r="AF103" s="821"/>
      <c r="AI103" s="109" t="str">
        <f>"25:field224:" &amp; IF(I103="■",1,IF(L103="■",2,0))</f>
        <v>25:field224:0</v>
      </c>
    </row>
    <row r="104" spans="1:36" ht="18.75" customHeight="1" x14ac:dyDescent="0.2">
      <c r="A104" s="139"/>
      <c r="B104" s="123"/>
      <c r="C104" s="140"/>
      <c r="D104" s="141"/>
      <c r="E104" s="128"/>
      <c r="F104" s="142"/>
      <c r="G104" s="128"/>
      <c r="H104" s="242" t="s">
        <v>112</v>
      </c>
      <c r="I104" s="175" t="s">
        <v>383</v>
      </c>
      <c r="J104" s="157" t="s">
        <v>250</v>
      </c>
      <c r="K104" s="158"/>
      <c r="L104" s="160" t="s">
        <v>383</v>
      </c>
      <c r="M104" s="157" t="s">
        <v>267</v>
      </c>
      <c r="N104" s="207"/>
      <c r="O104" s="158"/>
      <c r="P104" s="158"/>
      <c r="Q104" s="158"/>
      <c r="R104" s="158"/>
      <c r="S104" s="158"/>
      <c r="T104" s="158"/>
      <c r="U104" s="158"/>
      <c r="V104" s="158"/>
      <c r="W104" s="158"/>
      <c r="X104" s="166"/>
      <c r="Y104" s="154"/>
      <c r="Z104" s="147"/>
      <c r="AA104" s="147"/>
      <c r="AB104" s="148"/>
      <c r="AC104" s="819"/>
      <c r="AD104" s="820"/>
      <c r="AE104" s="820"/>
      <c r="AF104" s="821"/>
      <c r="AI104" s="109" t="str">
        <f>"25:ryouyoushoku_code:" &amp; IF(I104="■",1,IF(L104="■",2,0))</f>
        <v>25:ryouyoushoku_code:0</v>
      </c>
    </row>
    <row r="105" spans="1:36" ht="18.75" customHeight="1" x14ac:dyDescent="0.2">
      <c r="A105" s="139"/>
      <c r="B105" s="123"/>
      <c r="C105" s="140"/>
      <c r="D105" s="141"/>
      <c r="E105" s="128"/>
      <c r="F105" s="142"/>
      <c r="G105" s="128"/>
      <c r="H105" s="242" t="s">
        <v>184</v>
      </c>
      <c r="I105" s="175" t="s">
        <v>383</v>
      </c>
      <c r="J105" s="157" t="s">
        <v>250</v>
      </c>
      <c r="K105" s="157"/>
      <c r="L105" s="160" t="s">
        <v>383</v>
      </c>
      <c r="M105" s="157" t="s">
        <v>251</v>
      </c>
      <c r="N105" s="157"/>
      <c r="O105" s="160" t="s">
        <v>383</v>
      </c>
      <c r="P105" s="157" t="s">
        <v>252</v>
      </c>
      <c r="Q105" s="162"/>
      <c r="R105" s="158"/>
      <c r="S105" s="158"/>
      <c r="T105" s="158"/>
      <c r="U105" s="158"/>
      <c r="V105" s="158"/>
      <c r="W105" s="158"/>
      <c r="X105" s="166"/>
      <c r="Y105" s="154"/>
      <c r="Z105" s="147"/>
      <c r="AA105" s="147"/>
      <c r="AB105" s="148"/>
      <c r="AC105" s="819"/>
      <c r="AD105" s="820"/>
      <c r="AE105" s="820"/>
      <c r="AF105" s="821"/>
      <c r="AI105" s="109" t="str">
        <f>"25:ninti_senmoncare_code:" &amp; IF(I105="■",1,IF(O105="■",3,IF(L105="■",2,0)))</f>
        <v>25:ninti_senmoncare_code:0</v>
      </c>
    </row>
    <row r="106" spans="1:36" ht="18.75" customHeight="1" x14ac:dyDescent="0.2">
      <c r="A106" s="139"/>
      <c r="B106" s="123"/>
      <c r="C106" s="140"/>
      <c r="D106" s="141"/>
      <c r="E106" s="128"/>
      <c r="F106" s="142"/>
      <c r="G106" s="128"/>
      <c r="H106" s="250" t="s">
        <v>442</v>
      </c>
      <c r="I106" s="175" t="s">
        <v>383</v>
      </c>
      <c r="J106" s="157" t="s">
        <v>250</v>
      </c>
      <c r="K106" s="157"/>
      <c r="L106" s="160" t="s">
        <v>383</v>
      </c>
      <c r="M106" s="157" t="s">
        <v>251</v>
      </c>
      <c r="N106" s="157"/>
      <c r="O106" s="160" t="s">
        <v>383</v>
      </c>
      <c r="P106" s="157" t="s">
        <v>252</v>
      </c>
      <c r="Q106" s="162"/>
      <c r="R106" s="162"/>
      <c r="S106" s="162"/>
      <c r="T106" s="162"/>
      <c r="U106" s="251"/>
      <c r="V106" s="251"/>
      <c r="W106" s="251"/>
      <c r="X106" s="252"/>
      <c r="Y106" s="154"/>
      <c r="Z106" s="147"/>
      <c r="AA106" s="147"/>
      <c r="AB106" s="148"/>
      <c r="AC106" s="819"/>
      <c r="AD106" s="820"/>
      <c r="AE106" s="820"/>
      <c r="AF106" s="821"/>
      <c r="AI106" s="109" t="str">
        <f>"25:field225:" &amp; IF(I106="■",1,IF(L106="■",2,IF(O106="■",3,0)))</f>
        <v>25:field225:0</v>
      </c>
    </row>
    <row r="107" spans="1:36" ht="18.75" customHeight="1" x14ac:dyDescent="0.2">
      <c r="A107" s="139"/>
      <c r="B107" s="123"/>
      <c r="C107" s="140"/>
      <c r="D107" s="141"/>
      <c r="E107" s="128"/>
      <c r="F107" s="142"/>
      <c r="G107" s="128"/>
      <c r="H107" s="239" t="s">
        <v>118</v>
      </c>
      <c r="I107" s="175" t="s">
        <v>383</v>
      </c>
      <c r="J107" s="157" t="s">
        <v>250</v>
      </c>
      <c r="K107" s="157"/>
      <c r="L107" s="160" t="s">
        <v>383</v>
      </c>
      <c r="M107" s="157" t="s">
        <v>258</v>
      </c>
      <c r="N107" s="157"/>
      <c r="O107" s="160" t="s">
        <v>383</v>
      </c>
      <c r="P107" s="157" t="s">
        <v>259</v>
      </c>
      <c r="Q107" s="207"/>
      <c r="R107" s="160" t="s">
        <v>383</v>
      </c>
      <c r="S107" s="157" t="s">
        <v>283</v>
      </c>
      <c r="T107" s="157"/>
      <c r="U107" s="157"/>
      <c r="V107" s="157"/>
      <c r="W107" s="157"/>
      <c r="X107" s="165"/>
      <c r="Y107" s="154"/>
      <c r="Z107" s="147"/>
      <c r="AA107" s="147"/>
      <c r="AB107" s="148"/>
      <c r="AC107" s="819"/>
      <c r="AD107" s="820"/>
      <c r="AE107" s="820"/>
      <c r="AF107" s="821"/>
      <c r="AI107" s="109" t="str">
        <f>"25:serteikyo_kyoka_code:" &amp; IF(I107="■",1,IF(L107="■",6,IF(O107="■",5,IF(R107="■",7,0))))</f>
        <v>25:serteikyo_kyoka_code:0</v>
      </c>
    </row>
    <row r="108" spans="1:36" ht="18.75" customHeight="1" x14ac:dyDescent="0.2">
      <c r="A108" s="139"/>
      <c r="B108" s="123"/>
      <c r="C108" s="140"/>
      <c r="D108" s="141"/>
      <c r="E108" s="128"/>
      <c r="F108" s="142"/>
      <c r="G108" s="128"/>
      <c r="H108" s="713" t="s">
        <v>805</v>
      </c>
      <c r="I108" s="727" t="s">
        <v>383</v>
      </c>
      <c r="J108" s="726" t="s">
        <v>250</v>
      </c>
      <c r="K108" s="726"/>
      <c r="L108" s="727" t="s">
        <v>383</v>
      </c>
      <c r="M108" s="726" t="s">
        <v>267</v>
      </c>
      <c r="N108" s="726"/>
      <c r="O108" s="168"/>
      <c r="P108" s="168"/>
      <c r="Q108" s="168"/>
      <c r="R108" s="168"/>
      <c r="S108" s="168"/>
      <c r="T108" s="168"/>
      <c r="U108" s="168"/>
      <c r="V108" s="168"/>
      <c r="W108" s="168"/>
      <c r="X108" s="173"/>
      <c r="Y108" s="154"/>
      <c r="Z108" s="147"/>
      <c r="AA108" s="147"/>
      <c r="AB108" s="148"/>
      <c r="AC108" s="819"/>
      <c r="AD108" s="820"/>
      <c r="AE108" s="820"/>
      <c r="AF108" s="821"/>
      <c r="AI108" s="109" t="str">
        <f>"25:field221:" &amp; IF(I108="■",1,IF(L108="■",2,0))</f>
        <v>25:field221:0</v>
      </c>
    </row>
    <row r="109" spans="1:36" ht="18.75" customHeight="1" x14ac:dyDescent="0.2">
      <c r="A109" s="139"/>
      <c r="B109" s="123"/>
      <c r="C109" s="140"/>
      <c r="D109" s="141"/>
      <c r="E109" s="128"/>
      <c r="F109" s="142"/>
      <c r="G109" s="128"/>
      <c r="H109" s="737"/>
      <c r="I109" s="727"/>
      <c r="J109" s="726"/>
      <c r="K109" s="726"/>
      <c r="L109" s="727"/>
      <c r="M109" s="726"/>
      <c r="N109" s="726"/>
      <c r="O109" s="169"/>
      <c r="P109" s="169"/>
      <c r="Q109" s="169"/>
      <c r="R109" s="169"/>
      <c r="S109" s="169"/>
      <c r="T109" s="169"/>
      <c r="U109" s="169"/>
      <c r="V109" s="169"/>
      <c r="W109" s="169"/>
      <c r="X109" s="170"/>
      <c r="Y109" s="154"/>
      <c r="Z109" s="147"/>
      <c r="AA109" s="147"/>
      <c r="AB109" s="148"/>
      <c r="AC109" s="819"/>
      <c r="AD109" s="820"/>
      <c r="AE109" s="820"/>
      <c r="AF109" s="821"/>
    </row>
    <row r="110" spans="1:36" s="621" customFormat="1" ht="27" customHeight="1" x14ac:dyDescent="0.2">
      <c r="A110" s="139"/>
      <c r="B110" s="670"/>
      <c r="C110" s="140"/>
      <c r="D110" s="141"/>
      <c r="E110" s="128"/>
      <c r="F110" s="142"/>
      <c r="G110" s="143"/>
      <c r="H110" s="713" t="s">
        <v>790</v>
      </c>
      <c r="I110" s="642" t="s">
        <v>383</v>
      </c>
      <c r="J110" s="616" t="s">
        <v>627</v>
      </c>
      <c r="K110" s="616"/>
      <c r="L110" s="615"/>
      <c r="M110" s="644" t="s">
        <v>383</v>
      </c>
      <c r="N110" s="616" t="s">
        <v>791</v>
      </c>
      <c r="O110" s="617"/>
      <c r="P110" s="615"/>
      <c r="Q110" s="644" t="s">
        <v>383</v>
      </c>
      <c r="R110" s="618" t="s">
        <v>792</v>
      </c>
      <c r="S110" s="615"/>
      <c r="T110" s="615"/>
      <c r="U110" s="615"/>
      <c r="V110" s="618"/>
      <c r="W110" s="619"/>
      <c r="X110" s="620"/>
      <c r="Y110" s="154"/>
      <c r="Z110" s="147"/>
      <c r="AA110" s="147"/>
      <c r="AB110" s="148"/>
      <c r="AC110" s="819"/>
      <c r="AD110" s="820"/>
      <c r="AE110" s="820"/>
      <c r="AF110" s="821"/>
    </row>
    <row r="111" spans="1:36" s="621" customFormat="1" ht="30.6" customHeight="1" x14ac:dyDescent="0.2">
      <c r="A111" s="139"/>
      <c r="B111" s="670"/>
      <c r="C111" s="140"/>
      <c r="D111" s="141"/>
      <c r="E111" s="128"/>
      <c r="F111" s="142"/>
      <c r="G111" s="143"/>
      <c r="H111" s="714"/>
      <c r="I111" s="645" t="s">
        <v>383</v>
      </c>
      <c r="J111" s="623" t="s">
        <v>793</v>
      </c>
      <c r="K111" s="623"/>
      <c r="L111" s="622"/>
      <c r="M111" s="645" t="s">
        <v>383</v>
      </c>
      <c r="N111" s="623" t="s">
        <v>794</v>
      </c>
      <c r="O111" s="624"/>
      <c r="P111" s="622"/>
      <c r="Q111" s="645" t="s">
        <v>383</v>
      </c>
      <c r="R111" s="623" t="s">
        <v>795</v>
      </c>
      <c r="S111" s="622"/>
      <c r="T111" s="623"/>
      <c r="U111" s="645" t="s">
        <v>383</v>
      </c>
      <c r="V111" s="623" t="s">
        <v>796</v>
      </c>
      <c r="W111" s="625"/>
      <c r="X111" s="626"/>
      <c r="Y111" s="154"/>
      <c r="Z111" s="147"/>
      <c r="AA111" s="147"/>
      <c r="AB111" s="148"/>
      <c r="AC111" s="819"/>
      <c r="AD111" s="820"/>
      <c r="AE111" s="820"/>
      <c r="AF111" s="821"/>
    </row>
    <row r="112" spans="1:36" ht="18.75" customHeight="1" x14ac:dyDescent="0.2">
      <c r="A112" s="129"/>
      <c r="B112" s="116"/>
      <c r="C112" s="130"/>
      <c r="D112" s="131"/>
      <c r="E112" s="121"/>
      <c r="F112" s="132"/>
      <c r="G112" s="121"/>
      <c r="H112" s="366" t="s">
        <v>97</v>
      </c>
      <c r="I112" s="412" t="s">
        <v>383</v>
      </c>
      <c r="J112" s="368" t="s">
        <v>300</v>
      </c>
      <c r="K112" s="369"/>
      <c r="L112" s="370"/>
      <c r="M112" s="371" t="s">
        <v>383</v>
      </c>
      <c r="N112" s="368" t="s">
        <v>301</v>
      </c>
      <c r="O112" s="457"/>
      <c r="P112" s="369"/>
      <c r="Q112" s="369"/>
      <c r="R112" s="369"/>
      <c r="S112" s="369"/>
      <c r="T112" s="369"/>
      <c r="U112" s="369"/>
      <c r="V112" s="369"/>
      <c r="W112" s="369"/>
      <c r="X112" s="421"/>
      <c r="Y112" s="134" t="s">
        <v>383</v>
      </c>
      <c r="Z112" s="119" t="s">
        <v>249</v>
      </c>
      <c r="AA112" s="119"/>
      <c r="AB112" s="137"/>
      <c r="AC112" s="816"/>
      <c r="AD112" s="817"/>
      <c r="AE112" s="817"/>
      <c r="AF112" s="818"/>
      <c r="AG112" s="109" t="str">
        <f>"ser_code = '" &amp; IF(A121="■",25,"") &amp; "'"</f>
        <v>ser_code = ''</v>
      </c>
      <c r="AH112" s="109" t="str">
        <f>"25:jininkbn_code:" &amp; IF(F121="■",1,IF(F122="■",2,0))</f>
        <v>25:jininkbn_code:0</v>
      </c>
      <c r="AI112" s="109" t="str">
        <f>"25:yakan_kinmu_code:" &amp; IF(I112="■",1,IF(M112="■",6,0))</f>
        <v>25:yakan_kinmu_code:0</v>
      </c>
      <c r="AJ112" s="109" t="str">
        <f>"25:field203:" &amp; IF(Y112="■",1,IF(Y113="■",2,0))</f>
        <v>25:field203:0</v>
      </c>
    </row>
    <row r="113" spans="1:36" ht="18.75" customHeight="1" x14ac:dyDescent="0.2">
      <c r="A113" s="139"/>
      <c r="B113" s="123"/>
      <c r="C113" s="140"/>
      <c r="D113" s="141"/>
      <c r="E113" s="128"/>
      <c r="F113" s="142"/>
      <c r="G113" s="128"/>
      <c r="H113" s="738" t="s">
        <v>93</v>
      </c>
      <c r="I113" s="374" t="s">
        <v>383</v>
      </c>
      <c r="J113" s="409" t="s">
        <v>250</v>
      </c>
      <c r="K113" s="409"/>
      <c r="L113" s="504"/>
      <c r="M113" s="443" t="s">
        <v>383</v>
      </c>
      <c r="N113" s="409" t="s">
        <v>289</v>
      </c>
      <c r="O113" s="409"/>
      <c r="P113" s="504"/>
      <c r="Q113" s="443" t="s">
        <v>383</v>
      </c>
      <c r="R113" s="506" t="s">
        <v>290</v>
      </c>
      <c r="S113" s="506"/>
      <c r="T113" s="506"/>
      <c r="U113" s="443" t="s">
        <v>383</v>
      </c>
      <c r="V113" s="506" t="s">
        <v>291</v>
      </c>
      <c r="W113" s="506"/>
      <c r="X113" s="510"/>
      <c r="Y113" s="118" t="s">
        <v>383</v>
      </c>
      <c r="Z113" s="126" t="s">
        <v>255</v>
      </c>
      <c r="AA113" s="147"/>
      <c r="AB113" s="148"/>
      <c r="AC113" s="819"/>
      <c r="AD113" s="820"/>
      <c r="AE113" s="820"/>
      <c r="AF113" s="821"/>
      <c r="AG113" s="109" t="str">
        <f>"25:sisetukbn_code:"&amp;IF(D121="■",2,0)</f>
        <v>25:sisetukbn_code:0</v>
      </c>
      <c r="AH113" s="109"/>
      <c r="AI113" s="109" t="str">
        <f>"25:"&amp;IF(AND(I113="□",M113="□",Q113="□",U113="□",I114="□",M114="□",Q114="□"),"ketu_doctor_code:0",IF(I113="■","ketu_doctor_code:1:ketu_kangos_code:1:ketu_kshoku_code:1:ketu_rryoho_code:1:ketu_sryoho_code:1:ketu_gengo_code:1",
IF(M113="■","ketu_doctor_code:2","ketu_doctor_code:1")
&amp;IF(Q113="■",":ketu_kangos_code:2",":ketu_kangos_code:1")
&amp;IF(U113="■",":ketu_kshoku_code:2",":ketu_kshoku_code:1")
&amp;IF(I114="■",":ketu_rryoho_code:2",":ketu_rryoho_code:1")
&amp;IF(M114="■",":ketu_sryoho_code:2",":ketu_sryoho_code:1")
&amp;IF(Q114="■",":ketu_gengo_code:2",":ketu_gengo_code:1")))</f>
        <v>25:ketu_doctor_code:0</v>
      </c>
      <c r="AJ113" s="109"/>
    </row>
    <row r="114" spans="1:36" ht="18.75" customHeight="1" x14ac:dyDescent="0.2">
      <c r="A114" s="139"/>
      <c r="B114" s="123"/>
      <c r="C114" s="140"/>
      <c r="D114" s="141"/>
      <c r="E114" s="128"/>
      <c r="F114" s="142"/>
      <c r="G114" s="128"/>
      <c r="H114" s="739"/>
      <c r="I114" s="460" t="s">
        <v>383</v>
      </c>
      <c r="J114" s="381" t="s">
        <v>292</v>
      </c>
      <c r="K114" s="384"/>
      <c r="L114" s="384"/>
      <c r="M114" s="383" t="s">
        <v>383</v>
      </c>
      <c r="N114" s="381" t="s">
        <v>293</v>
      </c>
      <c r="O114" s="384"/>
      <c r="P114" s="384"/>
      <c r="Q114" s="383" t="s">
        <v>383</v>
      </c>
      <c r="R114" s="381" t="s">
        <v>294</v>
      </c>
      <c r="S114" s="384"/>
      <c r="T114" s="384"/>
      <c r="U114" s="384"/>
      <c r="V114" s="384"/>
      <c r="W114" s="384"/>
      <c r="X114" s="385"/>
      <c r="Y114" s="154"/>
      <c r="Z114" s="147"/>
      <c r="AA114" s="147"/>
      <c r="AB114" s="148"/>
      <c r="AC114" s="819"/>
      <c r="AD114" s="820"/>
      <c r="AE114" s="820"/>
      <c r="AF114" s="821"/>
      <c r="AG114" s="109"/>
      <c r="AH114" s="109"/>
      <c r="AI114" s="109"/>
      <c r="AJ114" s="109"/>
    </row>
    <row r="115" spans="1:36" ht="18.75" customHeight="1" x14ac:dyDescent="0.2">
      <c r="A115" s="139"/>
      <c r="B115" s="123"/>
      <c r="C115" s="140"/>
      <c r="D115" s="141"/>
      <c r="E115" s="128"/>
      <c r="F115" s="142"/>
      <c r="G115" s="128"/>
      <c r="H115" s="364" t="s">
        <v>98</v>
      </c>
      <c r="I115" s="374" t="s">
        <v>383</v>
      </c>
      <c r="J115" s="350" t="s">
        <v>265</v>
      </c>
      <c r="K115" s="351"/>
      <c r="L115" s="352"/>
      <c r="M115" s="353" t="s">
        <v>383</v>
      </c>
      <c r="N115" s="350" t="s">
        <v>266</v>
      </c>
      <c r="O115" s="355"/>
      <c r="P115" s="351"/>
      <c r="Q115" s="351"/>
      <c r="R115" s="351"/>
      <c r="S115" s="351"/>
      <c r="T115" s="351"/>
      <c r="U115" s="351"/>
      <c r="V115" s="351"/>
      <c r="W115" s="351"/>
      <c r="X115" s="365"/>
      <c r="Y115" s="154"/>
      <c r="Z115" s="147"/>
      <c r="AA115" s="147"/>
      <c r="AB115" s="148"/>
      <c r="AC115" s="819"/>
      <c r="AD115" s="820"/>
      <c r="AE115" s="820"/>
      <c r="AF115" s="821"/>
      <c r="AI115" s="109" t="str">
        <f>"25:unitcare_code:" &amp; IF(I115="■",1,IF(M115="■",2,0))</f>
        <v>25:unitcare_code:0</v>
      </c>
    </row>
    <row r="116" spans="1:36" s="109" customFormat="1" ht="18.75" customHeight="1" x14ac:dyDescent="0.2">
      <c r="A116" s="139"/>
      <c r="B116" s="123"/>
      <c r="C116" s="248"/>
      <c r="D116" s="249"/>
      <c r="E116" s="128"/>
      <c r="F116" s="142"/>
      <c r="G116" s="143"/>
      <c r="H116" s="364" t="s">
        <v>107</v>
      </c>
      <c r="I116" s="349" t="s">
        <v>383</v>
      </c>
      <c r="J116" s="350" t="s">
        <v>395</v>
      </c>
      <c r="K116" s="351"/>
      <c r="L116" s="352"/>
      <c r="M116" s="353" t="s">
        <v>383</v>
      </c>
      <c r="N116" s="350" t="s">
        <v>396</v>
      </c>
      <c r="O116" s="351"/>
      <c r="P116" s="351"/>
      <c r="Q116" s="351"/>
      <c r="R116" s="351"/>
      <c r="S116" s="351"/>
      <c r="T116" s="351"/>
      <c r="U116" s="351"/>
      <c r="V116" s="351"/>
      <c r="W116" s="351"/>
      <c r="X116" s="365"/>
      <c r="Y116" s="154"/>
      <c r="Z116" s="147"/>
      <c r="AA116" s="147"/>
      <c r="AB116" s="148"/>
      <c r="AC116" s="819"/>
      <c r="AD116" s="820"/>
      <c r="AE116" s="820"/>
      <c r="AF116" s="821"/>
      <c r="AI116" s="109" t="str">
        <f>"25:sintaikousoku_code:" &amp; IF(I116="■",1,IF(M116="■",2,0))</f>
        <v>25:sintaikousoku_code:0</v>
      </c>
    </row>
    <row r="117" spans="1:36" ht="19.5" customHeight="1" x14ac:dyDescent="0.2">
      <c r="A117" s="139"/>
      <c r="B117" s="123"/>
      <c r="C117" s="140"/>
      <c r="D117" s="141"/>
      <c r="E117" s="128"/>
      <c r="F117" s="142"/>
      <c r="G117" s="143"/>
      <c r="H117" s="155" t="s">
        <v>430</v>
      </c>
      <c r="I117" s="175" t="s">
        <v>383</v>
      </c>
      <c r="J117" s="157" t="s">
        <v>395</v>
      </c>
      <c r="K117" s="158"/>
      <c r="L117" s="159"/>
      <c r="M117" s="160" t="s">
        <v>383</v>
      </c>
      <c r="N117" s="157" t="s">
        <v>431</v>
      </c>
      <c r="O117" s="157"/>
      <c r="P117" s="157"/>
      <c r="Q117" s="162"/>
      <c r="R117" s="162"/>
      <c r="S117" s="162"/>
      <c r="T117" s="162"/>
      <c r="U117" s="162"/>
      <c r="V117" s="162"/>
      <c r="W117" s="162"/>
      <c r="X117" s="163"/>
      <c r="Y117" s="147"/>
      <c r="Z117" s="147"/>
      <c r="AA117" s="147"/>
      <c r="AB117" s="148"/>
      <c r="AC117" s="819"/>
      <c r="AD117" s="820"/>
      <c r="AE117" s="820"/>
      <c r="AF117" s="821"/>
      <c r="AI117" s="109" t="str">
        <f>"25:field223:" &amp; IF(I117="■",1,IF(M117="■",2,0))</f>
        <v>25:field223:0</v>
      </c>
    </row>
    <row r="118" spans="1:36" ht="19.5" customHeight="1" x14ac:dyDescent="0.2">
      <c r="A118" s="139"/>
      <c r="B118" s="123"/>
      <c r="C118" s="140"/>
      <c r="D118" s="141"/>
      <c r="E118" s="128"/>
      <c r="F118" s="142"/>
      <c r="G118" s="143"/>
      <c r="H118" s="155" t="s">
        <v>448</v>
      </c>
      <c r="I118" s="175" t="s">
        <v>383</v>
      </c>
      <c r="J118" s="169" t="s">
        <v>395</v>
      </c>
      <c r="K118" s="179"/>
      <c r="L118" s="254"/>
      <c r="M118" s="203" t="s">
        <v>383</v>
      </c>
      <c r="N118" s="169" t="s">
        <v>431</v>
      </c>
      <c r="O118" s="169"/>
      <c r="P118" s="169"/>
      <c r="Q118" s="152"/>
      <c r="R118" s="152"/>
      <c r="S118" s="152"/>
      <c r="T118" s="152"/>
      <c r="U118" s="152"/>
      <c r="V118" s="152"/>
      <c r="W118" s="152"/>
      <c r="X118" s="153"/>
      <c r="Y118" s="147"/>
      <c r="Z118" s="126"/>
      <c r="AA118" s="147"/>
      <c r="AB118" s="148"/>
      <c r="AC118" s="819"/>
      <c r="AD118" s="820"/>
      <c r="AE118" s="820"/>
      <c r="AF118" s="821"/>
      <c r="AI118" s="109" t="str">
        <f>"25:field232:" &amp; IF(I118="■",1,IF(M118="■",2,0))</f>
        <v>25:field232:0</v>
      </c>
    </row>
    <row r="119" spans="1:36" ht="18.75" customHeight="1" x14ac:dyDescent="0.2">
      <c r="A119" s="139"/>
      <c r="B119" s="123"/>
      <c r="C119" s="140"/>
      <c r="D119" s="141"/>
      <c r="E119" s="128"/>
      <c r="F119" s="142"/>
      <c r="G119" s="128"/>
      <c r="H119" s="242" t="s">
        <v>111</v>
      </c>
      <c r="I119" s="175" t="s">
        <v>383</v>
      </c>
      <c r="J119" s="157" t="s">
        <v>250</v>
      </c>
      <c r="K119" s="158"/>
      <c r="L119" s="160" t="s">
        <v>383</v>
      </c>
      <c r="M119" s="157" t="s">
        <v>267</v>
      </c>
      <c r="N119" s="207"/>
      <c r="O119" s="158"/>
      <c r="P119" s="158"/>
      <c r="Q119" s="158"/>
      <c r="R119" s="158"/>
      <c r="S119" s="158"/>
      <c r="T119" s="158"/>
      <c r="U119" s="158"/>
      <c r="V119" s="158"/>
      <c r="W119" s="158"/>
      <c r="X119" s="166"/>
      <c r="Y119" s="154"/>
      <c r="Z119" s="147"/>
      <c r="AA119" s="147"/>
      <c r="AB119" s="148"/>
      <c r="AC119" s="819"/>
      <c r="AD119" s="820"/>
      <c r="AE119" s="820"/>
      <c r="AF119" s="821"/>
      <c r="AI119" s="109" t="str">
        <f>"25:yakinhaiti_code:" &amp; IF(I119="■",1,IF(L119="■",2,0))</f>
        <v>25:yakinhaiti_code:0</v>
      </c>
    </row>
    <row r="120" spans="1:36" ht="18.75" customHeight="1" x14ac:dyDescent="0.2">
      <c r="A120" s="139"/>
      <c r="B120" s="123"/>
      <c r="C120" s="140"/>
      <c r="D120" s="141"/>
      <c r="E120" s="128"/>
      <c r="F120" s="142"/>
      <c r="G120" s="128"/>
      <c r="H120" s="242" t="s">
        <v>486</v>
      </c>
      <c r="I120" s="175" t="s">
        <v>383</v>
      </c>
      <c r="J120" s="157" t="s">
        <v>250</v>
      </c>
      <c r="K120" s="158"/>
      <c r="L120" s="160" t="s">
        <v>383</v>
      </c>
      <c r="M120" s="157" t="s">
        <v>267</v>
      </c>
      <c r="N120" s="207"/>
      <c r="O120" s="158"/>
      <c r="P120" s="158"/>
      <c r="Q120" s="158"/>
      <c r="R120" s="158"/>
      <c r="S120" s="158"/>
      <c r="T120" s="158"/>
      <c r="U120" s="158"/>
      <c r="V120" s="158"/>
      <c r="W120" s="158"/>
      <c r="X120" s="166"/>
      <c r="Y120" s="154"/>
      <c r="Z120" s="147"/>
      <c r="AA120" s="147"/>
      <c r="AB120" s="148"/>
      <c r="AC120" s="819"/>
      <c r="AD120" s="820"/>
      <c r="AE120" s="820"/>
      <c r="AF120" s="821"/>
      <c r="AI120" s="109" t="str">
        <f>"25:jyakuninti_uke_code:" &amp; IF(I120="■",1,IF(L120="■",2,0))</f>
        <v>25:jyakuninti_uke_code:0</v>
      </c>
    </row>
    <row r="121" spans="1:36" ht="18.75" customHeight="1" x14ac:dyDescent="0.2">
      <c r="A121" s="125" t="s">
        <v>383</v>
      </c>
      <c r="B121" s="123">
        <v>25</v>
      </c>
      <c r="C121" s="140" t="s">
        <v>489</v>
      </c>
      <c r="D121" s="125" t="s">
        <v>383</v>
      </c>
      <c r="E121" s="128" t="s">
        <v>316</v>
      </c>
      <c r="F121" s="125" t="s">
        <v>383</v>
      </c>
      <c r="G121" s="128" t="s">
        <v>313</v>
      </c>
      <c r="H121" s="242" t="s">
        <v>218</v>
      </c>
      <c r="I121" s="175" t="s">
        <v>383</v>
      </c>
      <c r="J121" s="157" t="s">
        <v>250</v>
      </c>
      <c r="K121" s="157"/>
      <c r="L121" s="203" t="s">
        <v>383</v>
      </c>
      <c r="M121" s="157" t="s">
        <v>251</v>
      </c>
      <c r="N121" s="157"/>
      <c r="O121" s="160" t="s">
        <v>383</v>
      </c>
      <c r="P121" s="157" t="s">
        <v>252</v>
      </c>
      <c r="Q121" s="162"/>
      <c r="R121" s="157"/>
      <c r="S121" s="157"/>
      <c r="T121" s="157"/>
      <c r="U121" s="157"/>
      <c r="V121" s="157"/>
      <c r="W121" s="157"/>
      <c r="X121" s="165"/>
      <c r="Y121" s="154"/>
      <c r="Z121" s="147"/>
      <c r="AA121" s="147"/>
      <c r="AB121" s="148"/>
      <c r="AC121" s="819"/>
      <c r="AD121" s="820"/>
      <c r="AE121" s="820"/>
      <c r="AF121" s="821"/>
      <c r="AI121" s="109" t="str">
        <f>"25:zaitaku_hukki_code:" &amp; IF(I121="■",1,IF(L121="■",2,IF(O121="■",3,0)))</f>
        <v>25:zaitaku_hukki_code:0</v>
      </c>
    </row>
    <row r="122" spans="1:36" ht="18.75" customHeight="1" x14ac:dyDescent="0.2">
      <c r="A122" s="139"/>
      <c r="B122" s="123"/>
      <c r="C122" s="140"/>
      <c r="D122" s="141"/>
      <c r="E122" s="128"/>
      <c r="F122" s="125" t="s">
        <v>383</v>
      </c>
      <c r="G122" s="128" t="s">
        <v>314</v>
      </c>
      <c r="H122" s="242" t="s">
        <v>95</v>
      </c>
      <c r="I122" s="175" t="s">
        <v>383</v>
      </c>
      <c r="J122" s="157" t="s">
        <v>265</v>
      </c>
      <c r="K122" s="158"/>
      <c r="L122" s="159"/>
      <c r="M122" s="160" t="s">
        <v>383</v>
      </c>
      <c r="N122" s="157" t="s">
        <v>266</v>
      </c>
      <c r="O122" s="162"/>
      <c r="P122" s="158"/>
      <c r="Q122" s="158"/>
      <c r="R122" s="158"/>
      <c r="S122" s="158"/>
      <c r="T122" s="158"/>
      <c r="U122" s="158"/>
      <c r="V122" s="158"/>
      <c r="W122" s="158"/>
      <c r="X122" s="166"/>
      <c r="Y122" s="154"/>
      <c r="Z122" s="147"/>
      <c r="AA122" s="147"/>
      <c r="AB122" s="148"/>
      <c r="AC122" s="819"/>
      <c r="AD122" s="820"/>
      <c r="AE122" s="820"/>
      <c r="AF122" s="821"/>
      <c r="AI122" s="109" t="str">
        <f>"25:sougei_code:" &amp; IF(I122="■",1,IF(M122="■",2,0))</f>
        <v>25:sougei_code:0</v>
      </c>
    </row>
    <row r="123" spans="1:36" ht="19.5" customHeight="1" x14ac:dyDescent="0.2">
      <c r="A123" s="139"/>
      <c r="B123" s="123"/>
      <c r="C123" s="140"/>
      <c r="D123" s="141"/>
      <c r="E123" s="128"/>
      <c r="F123" s="142"/>
      <c r="G123" s="128"/>
      <c r="H123" s="155" t="s">
        <v>433</v>
      </c>
      <c r="I123" s="175" t="s">
        <v>383</v>
      </c>
      <c r="J123" s="157" t="s">
        <v>250</v>
      </c>
      <c r="K123" s="157"/>
      <c r="L123" s="160" t="s">
        <v>383</v>
      </c>
      <c r="M123" s="157" t="s">
        <v>267</v>
      </c>
      <c r="N123" s="157"/>
      <c r="O123" s="162"/>
      <c r="P123" s="157"/>
      <c r="Q123" s="162"/>
      <c r="R123" s="162"/>
      <c r="S123" s="162"/>
      <c r="T123" s="162"/>
      <c r="U123" s="162"/>
      <c r="V123" s="162"/>
      <c r="W123" s="162"/>
      <c r="X123" s="163"/>
      <c r="Y123" s="147"/>
      <c r="Z123" s="147"/>
      <c r="AA123" s="147"/>
      <c r="AB123" s="148"/>
      <c r="AC123" s="819"/>
      <c r="AD123" s="820"/>
      <c r="AE123" s="820"/>
      <c r="AF123" s="821"/>
      <c r="AI123" s="109" t="str">
        <f>"25:field224:" &amp; IF(I123="■",1,IF(L123="■",2,0))</f>
        <v>25:field224:0</v>
      </c>
    </row>
    <row r="124" spans="1:36" ht="18.75" customHeight="1" x14ac:dyDescent="0.2">
      <c r="A124" s="139"/>
      <c r="B124" s="123"/>
      <c r="C124" s="140"/>
      <c r="D124" s="141"/>
      <c r="E124" s="128"/>
      <c r="F124" s="142"/>
      <c r="G124" s="128"/>
      <c r="H124" s="242" t="s">
        <v>112</v>
      </c>
      <c r="I124" s="175" t="s">
        <v>383</v>
      </c>
      <c r="J124" s="157" t="s">
        <v>250</v>
      </c>
      <c r="K124" s="158"/>
      <c r="L124" s="160" t="s">
        <v>383</v>
      </c>
      <c r="M124" s="157" t="s">
        <v>267</v>
      </c>
      <c r="N124" s="207"/>
      <c r="O124" s="158"/>
      <c r="P124" s="158"/>
      <c r="Q124" s="158"/>
      <c r="R124" s="158"/>
      <c r="S124" s="158"/>
      <c r="T124" s="158"/>
      <c r="U124" s="158"/>
      <c r="V124" s="158"/>
      <c r="W124" s="158"/>
      <c r="X124" s="166"/>
      <c r="Y124" s="154"/>
      <c r="Z124" s="147"/>
      <c r="AA124" s="147"/>
      <c r="AB124" s="148"/>
      <c r="AC124" s="819"/>
      <c r="AD124" s="820"/>
      <c r="AE124" s="820"/>
      <c r="AF124" s="821"/>
      <c r="AI124" s="109" t="str">
        <f>"25:ryouyoushoku_code:" &amp; IF(I124="■",1,IF(L124="■",2,0))</f>
        <v>25:ryouyoushoku_code:0</v>
      </c>
    </row>
    <row r="125" spans="1:36" ht="18.75" customHeight="1" x14ac:dyDescent="0.2">
      <c r="A125" s="139"/>
      <c r="B125" s="123"/>
      <c r="C125" s="140"/>
      <c r="D125" s="141"/>
      <c r="E125" s="128"/>
      <c r="F125" s="142"/>
      <c r="G125" s="128"/>
      <c r="H125" s="242" t="s">
        <v>184</v>
      </c>
      <c r="I125" s="175" t="s">
        <v>383</v>
      </c>
      <c r="J125" s="157" t="s">
        <v>250</v>
      </c>
      <c r="K125" s="157"/>
      <c r="L125" s="160" t="s">
        <v>383</v>
      </c>
      <c r="M125" s="157" t="s">
        <v>251</v>
      </c>
      <c r="N125" s="157"/>
      <c r="O125" s="160" t="s">
        <v>383</v>
      </c>
      <c r="P125" s="157" t="s">
        <v>252</v>
      </c>
      <c r="Q125" s="162"/>
      <c r="R125" s="158"/>
      <c r="S125" s="158"/>
      <c r="T125" s="158"/>
      <c r="U125" s="158"/>
      <c r="V125" s="158"/>
      <c r="W125" s="158"/>
      <c r="X125" s="166"/>
      <c r="Y125" s="154"/>
      <c r="Z125" s="147"/>
      <c r="AA125" s="147"/>
      <c r="AB125" s="148"/>
      <c r="AC125" s="819"/>
      <c r="AD125" s="820"/>
      <c r="AE125" s="820"/>
      <c r="AF125" s="821"/>
      <c r="AI125" s="109" t="str">
        <f>"25:ninti_senmoncare_code:" &amp; IF(I125="■",1,IF(O125="■",3,IF(L125="■",2,0)))</f>
        <v>25:ninti_senmoncare_code:0</v>
      </c>
    </row>
    <row r="126" spans="1:36" ht="18.75" customHeight="1" x14ac:dyDescent="0.2">
      <c r="A126" s="139"/>
      <c r="B126" s="123"/>
      <c r="C126" s="140"/>
      <c r="D126" s="141"/>
      <c r="E126" s="128"/>
      <c r="F126" s="142"/>
      <c r="G126" s="128"/>
      <c r="H126" s="250" t="s">
        <v>442</v>
      </c>
      <c r="I126" s="175" t="s">
        <v>383</v>
      </c>
      <c r="J126" s="157" t="s">
        <v>250</v>
      </c>
      <c r="K126" s="157"/>
      <c r="L126" s="160" t="s">
        <v>383</v>
      </c>
      <c r="M126" s="157" t="s">
        <v>251</v>
      </c>
      <c r="N126" s="157"/>
      <c r="O126" s="160" t="s">
        <v>383</v>
      </c>
      <c r="P126" s="157" t="s">
        <v>252</v>
      </c>
      <c r="Q126" s="162"/>
      <c r="R126" s="162"/>
      <c r="S126" s="162"/>
      <c r="T126" s="162"/>
      <c r="U126" s="251"/>
      <c r="V126" s="251"/>
      <c r="W126" s="251"/>
      <c r="X126" s="252"/>
      <c r="Y126" s="154"/>
      <c r="Z126" s="147"/>
      <c r="AA126" s="147"/>
      <c r="AB126" s="148"/>
      <c r="AC126" s="819"/>
      <c r="AD126" s="820"/>
      <c r="AE126" s="820"/>
      <c r="AF126" s="821"/>
      <c r="AI126" s="109" t="str">
        <f>"25:field225:" &amp; IF(I126="■",1,IF(L126="■",2,IF(O126="■",3,0)))</f>
        <v>25:field225:0</v>
      </c>
    </row>
    <row r="127" spans="1:36" ht="18.75" customHeight="1" x14ac:dyDescent="0.2">
      <c r="A127" s="139"/>
      <c r="B127" s="123"/>
      <c r="C127" s="140"/>
      <c r="D127" s="141"/>
      <c r="E127" s="128"/>
      <c r="F127" s="142"/>
      <c r="G127" s="128"/>
      <c r="H127" s="239" t="s">
        <v>118</v>
      </c>
      <c r="I127" s="175" t="s">
        <v>383</v>
      </c>
      <c r="J127" s="157" t="s">
        <v>250</v>
      </c>
      <c r="K127" s="157"/>
      <c r="L127" s="160" t="s">
        <v>383</v>
      </c>
      <c r="M127" s="157" t="s">
        <v>258</v>
      </c>
      <c r="N127" s="157"/>
      <c r="O127" s="160" t="s">
        <v>383</v>
      </c>
      <c r="P127" s="157" t="s">
        <v>259</v>
      </c>
      <c r="Q127" s="207"/>
      <c r="R127" s="160" t="s">
        <v>383</v>
      </c>
      <c r="S127" s="157" t="s">
        <v>283</v>
      </c>
      <c r="T127" s="157"/>
      <c r="U127" s="157"/>
      <c r="V127" s="157"/>
      <c r="W127" s="157"/>
      <c r="X127" s="165"/>
      <c r="Y127" s="154"/>
      <c r="Z127" s="147"/>
      <c r="AA127" s="147"/>
      <c r="AB127" s="148"/>
      <c r="AC127" s="819"/>
      <c r="AD127" s="820"/>
      <c r="AE127" s="820"/>
      <c r="AF127" s="821"/>
      <c r="AI127" s="109" t="str">
        <f>"25:serteikyo_kyoka_code:" &amp; IF(I127="■",1,IF(L127="■",6,IF(O127="■",5,IF(R127="■",7,0))))</f>
        <v>25:serteikyo_kyoka_code:0</v>
      </c>
    </row>
    <row r="128" spans="1:36" ht="18.75" customHeight="1" x14ac:dyDescent="0.2">
      <c r="A128" s="139"/>
      <c r="B128" s="123"/>
      <c r="C128" s="140"/>
      <c r="D128" s="141"/>
      <c r="E128" s="128"/>
      <c r="F128" s="142"/>
      <c r="G128" s="128"/>
      <c r="H128" s="713" t="s">
        <v>805</v>
      </c>
      <c r="I128" s="727" t="s">
        <v>383</v>
      </c>
      <c r="J128" s="726" t="s">
        <v>250</v>
      </c>
      <c r="K128" s="726"/>
      <c r="L128" s="727" t="s">
        <v>383</v>
      </c>
      <c r="M128" s="726" t="s">
        <v>267</v>
      </c>
      <c r="N128" s="726"/>
      <c r="O128" s="168"/>
      <c r="P128" s="168"/>
      <c r="Q128" s="168"/>
      <c r="R128" s="168"/>
      <c r="S128" s="168"/>
      <c r="T128" s="168"/>
      <c r="U128" s="168"/>
      <c r="V128" s="168"/>
      <c r="W128" s="168"/>
      <c r="X128" s="173"/>
      <c r="Y128" s="154"/>
      <c r="Z128" s="147"/>
      <c r="AA128" s="147"/>
      <c r="AB128" s="148"/>
      <c r="AC128" s="819"/>
      <c r="AD128" s="820"/>
      <c r="AE128" s="820"/>
      <c r="AF128" s="821"/>
      <c r="AI128" s="109" t="str">
        <f>"25:field221:" &amp; IF(I128="■",1,IF(L128="■",2,0))</f>
        <v>25:field221:0</v>
      </c>
    </row>
    <row r="129" spans="1:36" ht="18.75" customHeight="1" x14ac:dyDescent="0.2">
      <c r="A129" s="139"/>
      <c r="B129" s="123"/>
      <c r="C129" s="140"/>
      <c r="D129" s="141"/>
      <c r="E129" s="128"/>
      <c r="F129" s="142"/>
      <c r="G129" s="128"/>
      <c r="H129" s="737"/>
      <c r="I129" s="727"/>
      <c r="J129" s="726"/>
      <c r="K129" s="726"/>
      <c r="L129" s="727"/>
      <c r="M129" s="726"/>
      <c r="N129" s="726"/>
      <c r="O129" s="169"/>
      <c r="P129" s="169"/>
      <c r="Q129" s="169"/>
      <c r="R129" s="169"/>
      <c r="S129" s="169"/>
      <c r="T129" s="169"/>
      <c r="U129" s="169"/>
      <c r="V129" s="169"/>
      <c r="W129" s="169"/>
      <c r="X129" s="170"/>
      <c r="Y129" s="154"/>
      <c r="Z129" s="147"/>
      <c r="AA129" s="147"/>
      <c r="AB129" s="148"/>
      <c r="AC129" s="819"/>
      <c r="AD129" s="820"/>
      <c r="AE129" s="820"/>
      <c r="AF129" s="821"/>
    </row>
    <row r="130" spans="1:36" s="621" customFormat="1" ht="27" customHeight="1" x14ac:dyDescent="0.2">
      <c r="A130" s="139"/>
      <c r="B130" s="670"/>
      <c r="C130" s="140"/>
      <c r="D130" s="141"/>
      <c r="E130" s="128"/>
      <c r="F130" s="142"/>
      <c r="G130" s="143"/>
      <c r="H130" s="713" t="s">
        <v>790</v>
      </c>
      <c r="I130" s="642" t="s">
        <v>383</v>
      </c>
      <c r="J130" s="616" t="s">
        <v>627</v>
      </c>
      <c r="K130" s="616"/>
      <c r="L130" s="615"/>
      <c r="M130" s="644" t="s">
        <v>383</v>
      </c>
      <c r="N130" s="616" t="s">
        <v>791</v>
      </c>
      <c r="O130" s="617"/>
      <c r="P130" s="615"/>
      <c r="Q130" s="644" t="s">
        <v>383</v>
      </c>
      <c r="R130" s="618" t="s">
        <v>792</v>
      </c>
      <c r="S130" s="615"/>
      <c r="T130" s="615"/>
      <c r="U130" s="615"/>
      <c r="V130" s="618"/>
      <c r="W130" s="619"/>
      <c r="X130" s="620"/>
      <c r="Y130" s="154"/>
      <c r="Z130" s="147"/>
      <c r="AA130" s="147"/>
      <c r="AB130" s="148"/>
      <c r="AC130" s="819"/>
      <c r="AD130" s="820"/>
      <c r="AE130" s="820"/>
      <c r="AF130" s="821"/>
    </row>
    <row r="131" spans="1:36" s="621" customFormat="1" ht="30.6" customHeight="1" x14ac:dyDescent="0.2">
      <c r="A131" s="139"/>
      <c r="B131" s="670"/>
      <c r="C131" s="140"/>
      <c r="D131" s="141"/>
      <c r="E131" s="128"/>
      <c r="F131" s="142"/>
      <c r="G131" s="143"/>
      <c r="H131" s="714"/>
      <c r="I131" s="645" t="s">
        <v>383</v>
      </c>
      <c r="J131" s="623" t="s">
        <v>793</v>
      </c>
      <c r="K131" s="623"/>
      <c r="L131" s="622"/>
      <c r="M131" s="645" t="s">
        <v>383</v>
      </c>
      <c r="N131" s="623" t="s">
        <v>794</v>
      </c>
      <c r="O131" s="624"/>
      <c r="P131" s="622"/>
      <c r="Q131" s="645" t="s">
        <v>383</v>
      </c>
      <c r="R131" s="623" t="s">
        <v>795</v>
      </c>
      <c r="S131" s="622"/>
      <c r="T131" s="623"/>
      <c r="U131" s="645" t="s">
        <v>383</v>
      </c>
      <c r="V131" s="623" t="s">
        <v>796</v>
      </c>
      <c r="W131" s="625"/>
      <c r="X131" s="626"/>
      <c r="Y131" s="154"/>
      <c r="Z131" s="147"/>
      <c r="AA131" s="147"/>
      <c r="AB131" s="148"/>
      <c r="AC131" s="819"/>
      <c r="AD131" s="820"/>
      <c r="AE131" s="820"/>
      <c r="AF131" s="821"/>
    </row>
    <row r="132" spans="1:36" ht="18.75" customHeight="1" x14ac:dyDescent="0.2">
      <c r="A132" s="129"/>
      <c r="B132" s="116"/>
      <c r="C132" s="130"/>
      <c r="D132" s="131"/>
      <c r="E132" s="121"/>
      <c r="F132" s="132"/>
      <c r="G132" s="121"/>
      <c r="H132" s="366" t="s">
        <v>97</v>
      </c>
      <c r="I132" s="374" t="s">
        <v>383</v>
      </c>
      <c r="J132" s="368" t="s">
        <v>300</v>
      </c>
      <c r="K132" s="369"/>
      <c r="L132" s="370"/>
      <c r="M132" s="371" t="s">
        <v>383</v>
      </c>
      <c r="N132" s="368" t="s">
        <v>301</v>
      </c>
      <c r="O132" s="457"/>
      <c r="P132" s="369"/>
      <c r="Q132" s="369"/>
      <c r="R132" s="369"/>
      <c r="S132" s="369"/>
      <c r="T132" s="369"/>
      <c r="U132" s="369"/>
      <c r="V132" s="369"/>
      <c r="W132" s="369"/>
      <c r="X132" s="421"/>
      <c r="Y132" s="134" t="s">
        <v>383</v>
      </c>
      <c r="Z132" s="119" t="s">
        <v>249</v>
      </c>
      <c r="AA132" s="119"/>
      <c r="AB132" s="137"/>
      <c r="AC132" s="816"/>
      <c r="AD132" s="817"/>
      <c r="AE132" s="817"/>
      <c r="AF132" s="818"/>
      <c r="AG132" s="109" t="str">
        <f>"ser_code = '" &amp; IF(A142="■",25,"") &amp; "'"</f>
        <v>ser_code = ''</v>
      </c>
      <c r="AH132" s="109"/>
      <c r="AI132" s="109" t="str">
        <f>"25:yakan_kinmu_code:" &amp; IF(I132="■",1,IF(M132="■",6,0))</f>
        <v>25:yakan_kinmu_code:0</v>
      </c>
      <c r="AJ132" s="109" t="str">
        <f>"25:field203:" &amp; IF(Y132="■",1,IF(Y133="■",2,0))</f>
        <v>25:field203:0</v>
      </c>
    </row>
    <row r="133" spans="1:36" ht="18.75" customHeight="1" x14ac:dyDescent="0.2">
      <c r="A133" s="139"/>
      <c r="B133" s="123"/>
      <c r="C133" s="140"/>
      <c r="D133" s="141"/>
      <c r="E133" s="128"/>
      <c r="F133" s="142"/>
      <c r="G133" s="128"/>
      <c r="H133" s="738" t="s">
        <v>93</v>
      </c>
      <c r="I133" s="374" t="s">
        <v>383</v>
      </c>
      <c r="J133" s="409" t="s">
        <v>250</v>
      </c>
      <c r="K133" s="409"/>
      <c r="L133" s="504"/>
      <c r="M133" s="443" t="s">
        <v>383</v>
      </c>
      <c r="N133" s="409" t="s">
        <v>289</v>
      </c>
      <c r="O133" s="409"/>
      <c r="P133" s="504"/>
      <c r="Q133" s="443" t="s">
        <v>383</v>
      </c>
      <c r="R133" s="506" t="s">
        <v>290</v>
      </c>
      <c r="S133" s="506"/>
      <c r="T133" s="506"/>
      <c r="U133" s="443" t="s">
        <v>383</v>
      </c>
      <c r="V133" s="506" t="s">
        <v>291</v>
      </c>
      <c r="W133" s="506"/>
      <c r="X133" s="510"/>
      <c r="Y133" s="118" t="s">
        <v>383</v>
      </c>
      <c r="Z133" s="126" t="s">
        <v>255</v>
      </c>
      <c r="AA133" s="147"/>
      <c r="AB133" s="148"/>
      <c r="AC133" s="819"/>
      <c r="AD133" s="820"/>
      <c r="AE133" s="820"/>
      <c r="AF133" s="821"/>
      <c r="AG133" s="109" t="str">
        <f>"25:sisetukbn_code:" &amp; IF(D142="■",5,IF(D143="■",7,0))</f>
        <v>25:sisetukbn_code:0</v>
      </c>
      <c r="AH133" s="109"/>
      <c r="AI133" s="109" t="str">
        <f>"25:"&amp;IF(AND(I133="□",M133="□",Q133="□",U133="□",I134="□",M134="□",Q134="□"),"ketu_doctor_code:0",IF(I133="■","ketu_doctor_code:1:ketu_kangos_code:1:ketu_kshoku_code:1:ketu_rryoho_code:1:ketu_sryoho_code:1:ketu_gengo_code:1",
IF(M133="■","ketu_doctor_code:2","ketu_doctor_code:1")
&amp;IF(Q133="■",":ketu_kangos_code:2",":ketu_kangos_code:1")
&amp;IF(U133="■",":ketu_kshoku_code:2",":ketu_kshoku_code:1")
&amp;IF(I134="■",":ketu_rryoho_code:2",":ketu_rryoho_code:1")
&amp;IF(M134="■",":ketu_sryoho_code:2",":ketu_sryoho_code:1")
&amp;IF(Q134="■",":ketu_gengo_code:2",":ketu_gengo_code:1")))</f>
        <v>25:ketu_doctor_code:0</v>
      </c>
      <c r="AJ133" s="109"/>
    </row>
    <row r="134" spans="1:36" ht="18.75" customHeight="1" x14ac:dyDescent="0.2">
      <c r="A134" s="139"/>
      <c r="B134" s="123"/>
      <c r="C134" s="140"/>
      <c r="D134" s="141"/>
      <c r="E134" s="128"/>
      <c r="F134" s="142"/>
      <c r="G134" s="128"/>
      <c r="H134" s="739"/>
      <c r="I134" s="460" t="s">
        <v>383</v>
      </c>
      <c r="J134" s="381" t="s">
        <v>292</v>
      </c>
      <c r="K134" s="384"/>
      <c r="L134" s="384"/>
      <c r="M134" s="383" t="s">
        <v>383</v>
      </c>
      <c r="N134" s="381" t="s">
        <v>293</v>
      </c>
      <c r="O134" s="384"/>
      <c r="P134" s="384"/>
      <c r="Q134" s="383" t="s">
        <v>383</v>
      </c>
      <c r="R134" s="381" t="s">
        <v>294</v>
      </c>
      <c r="S134" s="384"/>
      <c r="T134" s="384"/>
      <c r="U134" s="384"/>
      <c r="V134" s="384"/>
      <c r="W134" s="384"/>
      <c r="X134" s="385"/>
      <c r="Y134" s="154"/>
      <c r="Z134" s="147"/>
      <c r="AA134" s="147"/>
      <c r="AB134" s="148"/>
      <c r="AC134" s="819"/>
      <c r="AD134" s="820"/>
      <c r="AE134" s="820"/>
      <c r="AF134" s="821"/>
      <c r="AG134" s="109"/>
      <c r="AH134" s="109"/>
      <c r="AI134" s="109"/>
      <c r="AJ134" s="109"/>
    </row>
    <row r="135" spans="1:36" ht="18.75" customHeight="1" x14ac:dyDescent="0.2">
      <c r="A135" s="139"/>
      <c r="B135" s="123"/>
      <c r="C135" s="140"/>
      <c r="D135" s="141"/>
      <c r="E135" s="128"/>
      <c r="F135" s="142"/>
      <c r="G135" s="128"/>
      <c r="H135" s="364" t="s">
        <v>98</v>
      </c>
      <c r="I135" s="374" t="s">
        <v>383</v>
      </c>
      <c r="J135" s="350" t="s">
        <v>265</v>
      </c>
      <c r="K135" s="351"/>
      <c r="L135" s="352"/>
      <c r="M135" s="353" t="s">
        <v>383</v>
      </c>
      <c r="N135" s="350" t="s">
        <v>266</v>
      </c>
      <c r="O135" s="355"/>
      <c r="P135" s="351"/>
      <c r="Q135" s="351"/>
      <c r="R135" s="351"/>
      <c r="S135" s="351"/>
      <c r="T135" s="351"/>
      <c r="U135" s="351"/>
      <c r="V135" s="351"/>
      <c r="W135" s="351"/>
      <c r="X135" s="365"/>
      <c r="Y135" s="154"/>
      <c r="Z135" s="147"/>
      <c r="AA135" s="147"/>
      <c r="AB135" s="148"/>
      <c r="AC135" s="819"/>
      <c r="AD135" s="820"/>
      <c r="AE135" s="820"/>
      <c r="AF135" s="821"/>
      <c r="AG135" s="109"/>
      <c r="AH135" s="109"/>
      <c r="AI135" s="109" t="str">
        <f>"25:unitcare_code:" &amp; IF(I135="■",1,IF(M135="■",2,0))</f>
        <v>25:unitcare_code:0</v>
      </c>
      <c r="AJ135" s="109"/>
    </row>
    <row r="136" spans="1:36" s="109" customFormat="1" ht="18.75" customHeight="1" x14ac:dyDescent="0.2">
      <c r="A136" s="139"/>
      <c r="B136" s="123"/>
      <c r="C136" s="248"/>
      <c r="D136" s="249"/>
      <c r="E136" s="128"/>
      <c r="F136" s="142"/>
      <c r="G136" s="143"/>
      <c r="H136" s="364" t="s">
        <v>107</v>
      </c>
      <c r="I136" s="349" t="s">
        <v>383</v>
      </c>
      <c r="J136" s="350" t="s">
        <v>395</v>
      </c>
      <c r="K136" s="351"/>
      <c r="L136" s="352"/>
      <c r="M136" s="353" t="s">
        <v>383</v>
      </c>
      <c r="N136" s="350" t="s">
        <v>396</v>
      </c>
      <c r="O136" s="351"/>
      <c r="P136" s="351"/>
      <c r="Q136" s="351"/>
      <c r="R136" s="351"/>
      <c r="S136" s="351"/>
      <c r="T136" s="351"/>
      <c r="U136" s="351"/>
      <c r="V136" s="351"/>
      <c r="W136" s="351"/>
      <c r="X136" s="365"/>
      <c r="Y136" s="154"/>
      <c r="Z136" s="147"/>
      <c r="AA136" s="147"/>
      <c r="AB136" s="148"/>
      <c r="AC136" s="819"/>
      <c r="AD136" s="820"/>
      <c r="AE136" s="820"/>
      <c r="AF136" s="821"/>
      <c r="AI136" s="109" t="str">
        <f>"25:sintaikousoku_code:" &amp; IF(I136="■",1,IF(M136="■",2,0))</f>
        <v>25:sintaikousoku_code:0</v>
      </c>
    </row>
    <row r="137" spans="1:36" ht="19.5" customHeight="1" x14ac:dyDescent="0.2">
      <c r="A137" s="139"/>
      <c r="B137" s="123"/>
      <c r="C137" s="140"/>
      <c r="D137" s="141"/>
      <c r="E137" s="128"/>
      <c r="F137" s="142"/>
      <c r="G137" s="143"/>
      <c r="H137" s="155" t="s">
        <v>430</v>
      </c>
      <c r="I137" s="175" t="s">
        <v>383</v>
      </c>
      <c r="J137" s="157" t="s">
        <v>395</v>
      </c>
      <c r="K137" s="158"/>
      <c r="L137" s="159"/>
      <c r="M137" s="160" t="s">
        <v>383</v>
      </c>
      <c r="N137" s="157" t="s">
        <v>431</v>
      </c>
      <c r="O137" s="157"/>
      <c r="P137" s="157"/>
      <c r="Q137" s="162"/>
      <c r="R137" s="162"/>
      <c r="S137" s="162"/>
      <c r="T137" s="162"/>
      <c r="U137" s="162"/>
      <c r="V137" s="162"/>
      <c r="W137" s="162"/>
      <c r="X137" s="163"/>
      <c r="Y137" s="147"/>
      <c r="Z137" s="147"/>
      <c r="AA137" s="147"/>
      <c r="AB137" s="148"/>
      <c r="AC137" s="819"/>
      <c r="AD137" s="820"/>
      <c r="AE137" s="820"/>
      <c r="AF137" s="821"/>
      <c r="AI137" s="109" t="str">
        <f>"25:field223:" &amp; IF(I137="■",1,IF(M137="■",2,0))</f>
        <v>25:field223:0</v>
      </c>
    </row>
    <row r="138" spans="1:36" ht="19.5" customHeight="1" x14ac:dyDescent="0.2">
      <c r="A138" s="139"/>
      <c r="B138" s="123"/>
      <c r="C138" s="140"/>
      <c r="D138" s="141"/>
      <c r="E138" s="128"/>
      <c r="F138" s="142"/>
      <c r="G138" s="143"/>
      <c r="H138" s="155" t="s">
        <v>448</v>
      </c>
      <c r="I138" s="175" t="s">
        <v>383</v>
      </c>
      <c r="J138" s="169" t="s">
        <v>395</v>
      </c>
      <c r="K138" s="179"/>
      <c r="L138" s="254"/>
      <c r="M138" s="203" t="s">
        <v>383</v>
      </c>
      <c r="N138" s="169" t="s">
        <v>431</v>
      </c>
      <c r="O138" s="169"/>
      <c r="P138" s="169"/>
      <c r="Q138" s="152"/>
      <c r="R138" s="152"/>
      <c r="S138" s="152"/>
      <c r="T138" s="152"/>
      <c r="U138" s="152"/>
      <c r="V138" s="152"/>
      <c r="W138" s="152"/>
      <c r="X138" s="153"/>
      <c r="Y138" s="147"/>
      <c r="Z138" s="126"/>
      <c r="AA138" s="147"/>
      <c r="AB138" s="148"/>
      <c r="AC138" s="819"/>
      <c r="AD138" s="820"/>
      <c r="AE138" s="820"/>
      <c r="AF138" s="821"/>
      <c r="AI138" s="109" t="str">
        <f>"25:field232:" &amp; IF(I138="■",1,IF(M138="■",2,0))</f>
        <v>25:field232:0</v>
      </c>
    </row>
    <row r="139" spans="1:36" s="1" customFormat="1" ht="19.5" customHeight="1" x14ac:dyDescent="0.2">
      <c r="A139" s="88"/>
      <c r="B139" s="91"/>
      <c r="C139" s="87"/>
      <c r="D139" s="89"/>
      <c r="E139" s="90"/>
      <c r="F139" s="101"/>
      <c r="G139" s="100"/>
      <c r="H139" s="348" t="s">
        <v>638</v>
      </c>
      <c r="I139" s="406" t="s">
        <v>383</v>
      </c>
      <c r="J139" s="381" t="s">
        <v>624</v>
      </c>
      <c r="K139" s="472"/>
      <c r="L139" s="382"/>
      <c r="M139" s="408" t="s">
        <v>383</v>
      </c>
      <c r="N139" s="381" t="s">
        <v>625</v>
      </c>
      <c r="O139" s="473"/>
      <c r="P139" s="381"/>
      <c r="Q139" s="474"/>
      <c r="R139" s="474"/>
      <c r="S139" s="474"/>
      <c r="T139" s="474"/>
      <c r="U139" s="474"/>
      <c r="V139" s="474"/>
      <c r="W139" s="474"/>
      <c r="X139" s="475"/>
      <c r="Y139" s="85"/>
      <c r="Z139" s="2"/>
      <c r="AA139" s="92"/>
      <c r="AB139" s="102"/>
      <c r="AC139" s="819"/>
      <c r="AD139" s="820"/>
      <c r="AE139" s="820"/>
      <c r="AF139" s="821"/>
      <c r="AI139" s="109" t="str">
        <f>"25:field242:" &amp; IF(I139="■",1,IF(M139="■",2,0))</f>
        <v>25:field242:0</v>
      </c>
    </row>
    <row r="140" spans="1:36" ht="18.75" customHeight="1" x14ac:dyDescent="0.2">
      <c r="A140" s="139"/>
      <c r="B140" s="123"/>
      <c r="C140" s="140"/>
      <c r="D140" s="141"/>
      <c r="E140" s="128"/>
      <c r="F140" s="142"/>
      <c r="G140" s="128"/>
      <c r="H140" s="242" t="s">
        <v>111</v>
      </c>
      <c r="I140" s="175" t="s">
        <v>383</v>
      </c>
      <c r="J140" s="157" t="s">
        <v>250</v>
      </c>
      <c r="K140" s="158"/>
      <c r="L140" s="160" t="s">
        <v>383</v>
      </c>
      <c r="M140" s="157" t="s">
        <v>267</v>
      </c>
      <c r="N140" s="207"/>
      <c r="O140" s="162"/>
      <c r="P140" s="162"/>
      <c r="Q140" s="162"/>
      <c r="R140" s="162"/>
      <c r="S140" s="162"/>
      <c r="T140" s="162"/>
      <c r="U140" s="162"/>
      <c r="V140" s="162"/>
      <c r="W140" s="162"/>
      <c r="X140" s="163"/>
      <c r="Y140" s="154"/>
      <c r="Z140" s="147"/>
      <c r="AA140" s="147"/>
      <c r="AB140" s="148"/>
      <c r="AC140" s="819"/>
      <c r="AD140" s="820"/>
      <c r="AE140" s="820"/>
      <c r="AF140" s="821"/>
      <c r="AI140" s="109" t="str">
        <f>"25:yakinhaiti_code:" &amp; IF(I140="■",1,IF(L140="■",2,0))</f>
        <v>25:yakinhaiti_code:0</v>
      </c>
    </row>
    <row r="141" spans="1:36" ht="18.75" customHeight="1" x14ac:dyDescent="0.2">
      <c r="A141" s="139"/>
      <c r="B141" s="123"/>
      <c r="C141" s="140"/>
      <c r="D141" s="141"/>
      <c r="E141" s="128"/>
      <c r="F141" s="142"/>
      <c r="G141" s="128"/>
      <c r="H141" s="242" t="s">
        <v>486</v>
      </c>
      <c r="I141" s="175" t="s">
        <v>383</v>
      </c>
      <c r="J141" s="157" t="s">
        <v>250</v>
      </c>
      <c r="K141" s="158"/>
      <c r="L141" s="160" t="s">
        <v>383</v>
      </c>
      <c r="M141" s="157" t="s">
        <v>267</v>
      </c>
      <c r="N141" s="207"/>
      <c r="O141" s="162"/>
      <c r="P141" s="162"/>
      <c r="Q141" s="162"/>
      <c r="R141" s="162"/>
      <c r="S141" s="162"/>
      <c r="T141" s="162"/>
      <c r="U141" s="162"/>
      <c r="V141" s="162"/>
      <c r="W141" s="162"/>
      <c r="X141" s="163"/>
      <c r="Y141" s="154"/>
      <c r="Z141" s="147"/>
      <c r="AA141" s="147"/>
      <c r="AB141" s="148"/>
      <c r="AC141" s="819"/>
      <c r="AD141" s="820"/>
      <c r="AE141" s="820"/>
      <c r="AF141" s="821"/>
      <c r="AI141" s="109" t="str">
        <f>"25:jyakuninti_uke_code:" &amp; IF(I141="■",1,IF(L141="■",2,0))</f>
        <v>25:jyakuninti_uke_code:0</v>
      </c>
    </row>
    <row r="142" spans="1:36" ht="18.75" customHeight="1" x14ac:dyDescent="0.2">
      <c r="A142" s="125" t="s">
        <v>383</v>
      </c>
      <c r="B142" s="123">
        <v>25</v>
      </c>
      <c r="C142" s="140" t="s">
        <v>489</v>
      </c>
      <c r="D142" s="125" t="s">
        <v>383</v>
      </c>
      <c r="E142" s="128" t="s">
        <v>322</v>
      </c>
      <c r="F142" s="142"/>
      <c r="G142" s="128"/>
      <c r="H142" s="242" t="s">
        <v>95</v>
      </c>
      <c r="I142" s="175" t="s">
        <v>383</v>
      </c>
      <c r="J142" s="157" t="s">
        <v>265</v>
      </c>
      <c r="K142" s="158"/>
      <c r="L142" s="159"/>
      <c r="M142" s="160" t="s">
        <v>383</v>
      </c>
      <c r="N142" s="157" t="s">
        <v>266</v>
      </c>
      <c r="O142" s="162"/>
      <c r="P142" s="162"/>
      <c r="Q142" s="162"/>
      <c r="R142" s="162"/>
      <c r="S142" s="162"/>
      <c r="T142" s="162"/>
      <c r="U142" s="162"/>
      <c r="V142" s="162"/>
      <c r="W142" s="162"/>
      <c r="X142" s="163"/>
      <c r="Y142" s="154"/>
      <c r="Z142" s="147"/>
      <c r="AA142" s="147"/>
      <c r="AB142" s="148"/>
      <c r="AC142" s="819"/>
      <c r="AD142" s="820"/>
      <c r="AE142" s="820"/>
      <c r="AF142" s="821"/>
      <c r="AI142" s="109" t="str">
        <f>"25:sougei_code:" &amp; IF(I142="■",1,IF(M142="■",2,0))</f>
        <v>25:sougei_code:0</v>
      </c>
    </row>
    <row r="143" spans="1:36" ht="18.75" customHeight="1" x14ac:dyDescent="0.2">
      <c r="A143" s="139"/>
      <c r="B143" s="123"/>
      <c r="C143" s="140"/>
      <c r="D143" s="125" t="s">
        <v>383</v>
      </c>
      <c r="E143" s="128" t="s">
        <v>324</v>
      </c>
      <c r="F143" s="142"/>
      <c r="G143" s="128"/>
      <c r="H143" s="242" t="s">
        <v>114</v>
      </c>
      <c r="I143" s="175" t="s">
        <v>383</v>
      </c>
      <c r="J143" s="157" t="s">
        <v>320</v>
      </c>
      <c r="K143" s="162"/>
      <c r="L143" s="162"/>
      <c r="M143" s="162"/>
      <c r="N143" s="162"/>
      <c r="O143" s="162"/>
      <c r="P143" s="160" t="s">
        <v>383</v>
      </c>
      <c r="Q143" s="157" t="s">
        <v>321</v>
      </c>
      <c r="R143" s="162"/>
      <c r="S143" s="162"/>
      <c r="T143" s="162"/>
      <c r="U143" s="162"/>
      <c r="V143" s="162"/>
      <c r="W143" s="162"/>
      <c r="X143" s="163"/>
      <c r="Y143" s="154"/>
      <c r="Z143" s="147"/>
      <c r="AA143" s="147"/>
      <c r="AB143" s="148"/>
      <c r="AC143" s="819"/>
      <c r="AD143" s="820"/>
      <c r="AE143" s="820"/>
      <c r="AF143" s="821"/>
      <c r="AI143" s="109" t="str">
        <f>"25:" &amp; IF(AND(I143="□",P143="□"),"tokusin_jyusho_code:0:tokusin_yakuzai_code:0",IF(I143="■","tokusin_jyusho_code:2","tokusin_jyusho_code:1")
&amp;IF(P143="■",":tokusin_yakuzai_code:2",":tokusin_yakuzai_code:1"))</f>
        <v>25:tokusin_jyusho_code:0:tokusin_yakuzai_code:0</v>
      </c>
    </row>
    <row r="144" spans="1:36" ht="18.75" customHeight="1" x14ac:dyDescent="0.2">
      <c r="A144" s="139"/>
      <c r="B144" s="123"/>
      <c r="C144" s="140"/>
      <c r="D144" s="141"/>
      <c r="E144" s="128"/>
      <c r="F144" s="142"/>
      <c r="G144" s="128"/>
      <c r="H144" s="242" t="s">
        <v>490</v>
      </c>
      <c r="I144" s="175" t="s">
        <v>383</v>
      </c>
      <c r="J144" s="157" t="s">
        <v>250</v>
      </c>
      <c r="K144" s="158"/>
      <c r="L144" s="160" t="s">
        <v>383</v>
      </c>
      <c r="M144" s="157" t="s">
        <v>267</v>
      </c>
      <c r="N144" s="207"/>
      <c r="O144" s="207"/>
      <c r="P144" s="207"/>
      <c r="Q144" s="207"/>
      <c r="R144" s="207"/>
      <c r="S144" s="207"/>
      <c r="T144" s="207"/>
      <c r="U144" s="207"/>
      <c r="V144" s="207"/>
      <c r="W144" s="207"/>
      <c r="X144" s="208"/>
      <c r="Y144" s="154"/>
      <c r="Z144" s="147"/>
      <c r="AA144" s="147"/>
      <c r="AB144" s="148"/>
      <c r="AC144" s="819"/>
      <c r="AD144" s="820"/>
      <c r="AE144" s="820"/>
      <c r="AF144" s="821"/>
      <c r="AI144" s="109" t="str">
        <f>"25:field198:" &amp; IF(I144="■",1,IF(L144="■",2,0))</f>
        <v>25:field198:0</v>
      </c>
    </row>
    <row r="145" spans="1:36" ht="18.75" customHeight="1" x14ac:dyDescent="0.2">
      <c r="A145" s="139"/>
      <c r="B145" s="123"/>
      <c r="C145" s="140"/>
      <c r="D145" s="141"/>
      <c r="E145" s="128"/>
      <c r="F145" s="142"/>
      <c r="G145" s="128"/>
      <c r="H145" s="242" t="s">
        <v>178</v>
      </c>
      <c r="I145" s="175" t="s">
        <v>383</v>
      </c>
      <c r="J145" s="157" t="s">
        <v>250</v>
      </c>
      <c r="K145" s="158"/>
      <c r="L145" s="160" t="s">
        <v>383</v>
      </c>
      <c r="M145" s="157" t="s">
        <v>267</v>
      </c>
      <c r="N145" s="207"/>
      <c r="O145" s="207"/>
      <c r="P145" s="207"/>
      <c r="Q145" s="207"/>
      <c r="R145" s="207"/>
      <c r="S145" s="207"/>
      <c r="T145" s="207"/>
      <c r="U145" s="207"/>
      <c r="V145" s="207"/>
      <c r="W145" s="207"/>
      <c r="X145" s="208"/>
      <c r="Y145" s="154"/>
      <c r="Z145" s="147"/>
      <c r="AA145" s="147"/>
      <c r="AB145" s="148"/>
      <c r="AC145" s="819"/>
      <c r="AD145" s="820"/>
      <c r="AE145" s="820"/>
      <c r="AF145" s="821"/>
      <c r="AI145" s="109" t="str">
        <f>"25:field199:" &amp; IF(I145="■",1,IF(L145="■",2,0))</f>
        <v>25:field199:0</v>
      </c>
    </row>
    <row r="146" spans="1:36" ht="19.5" customHeight="1" x14ac:dyDescent="0.2">
      <c r="A146" s="139"/>
      <c r="B146" s="123"/>
      <c r="C146" s="140"/>
      <c r="D146" s="141"/>
      <c r="E146" s="128"/>
      <c r="F146" s="142"/>
      <c r="G146" s="143"/>
      <c r="H146" s="155" t="s">
        <v>433</v>
      </c>
      <c r="I146" s="175" t="s">
        <v>383</v>
      </c>
      <c r="J146" s="157" t="s">
        <v>250</v>
      </c>
      <c r="K146" s="157"/>
      <c r="L146" s="160" t="s">
        <v>383</v>
      </c>
      <c r="M146" s="157" t="s">
        <v>267</v>
      </c>
      <c r="N146" s="157"/>
      <c r="O146" s="162"/>
      <c r="P146" s="157"/>
      <c r="Q146" s="162"/>
      <c r="R146" s="162"/>
      <c r="S146" s="162"/>
      <c r="T146" s="162"/>
      <c r="U146" s="162"/>
      <c r="V146" s="162"/>
      <c r="W146" s="162"/>
      <c r="X146" s="163"/>
      <c r="Y146" s="147"/>
      <c r="Z146" s="147"/>
      <c r="AA146" s="147"/>
      <c r="AB146" s="148"/>
      <c r="AC146" s="819"/>
      <c r="AD146" s="820"/>
      <c r="AE146" s="820"/>
      <c r="AF146" s="821"/>
      <c r="AI146" s="109" t="str">
        <f>"25:field224:" &amp; IF(I146="■",1,IF(L146="■",2,0))</f>
        <v>25:field224:0</v>
      </c>
    </row>
    <row r="147" spans="1:36" ht="18.75" customHeight="1" x14ac:dyDescent="0.2">
      <c r="A147" s="139"/>
      <c r="B147" s="123"/>
      <c r="C147" s="140"/>
      <c r="D147" s="141"/>
      <c r="E147" s="128"/>
      <c r="F147" s="142"/>
      <c r="G147" s="128"/>
      <c r="H147" s="242" t="s">
        <v>112</v>
      </c>
      <c r="I147" s="175" t="s">
        <v>383</v>
      </c>
      <c r="J147" s="157" t="s">
        <v>250</v>
      </c>
      <c r="K147" s="158"/>
      <c r="L147" s="160" t="s">
        <v>383</v>
      </c>
      <c r="M147" s="157" t="s">
        <v>267</v>
      </c>
      <c r="N147" s="207"/>
      <c r="O147" s="162"/>
      <c r="P147" s="162"/>
      <c r="Q147" s="162"/>
      <c r="R147" s="162"/>
      <c r="S147" s="162"/>
      <c r="T147" s="162"/>
      <c r="U147" s="162"/>
      <c r="V147" s="162"/>
      <c r="W147" s="162"/>
      <c r="X147" s="163"/>
      <c r="Y147" s="154"/>
      <c r="Z147" s="147"/>
      <c r="AA147" s="147"/>
      <c r="AB147" s="148"/>
      <c r="AC147" s="819"/>
      <c r="AD147" s="820"/>
      <c r="AE147" s="820"/>
      <c r="AF147" s="821"/>
      <c r="AI147" s="109" t="str">
        <f>"25:ryouyoushoku_code:" &amp; IF(I147="■",1,IF(L147="■",2,0))</f>
        <v>25:ryouyoushoku_code:0</v>
      </c>
    </row>
    <row r="148" spans="1:36" ht="18.75" customHeight="1" x14ac:dyDescent="0.2">
      <c r="A148" s="139"/>
      <c r="B148" s="123"/>
      <c r="C148" s="140"/>
      <c r="D148" s="141"/>
      <c r="E148" s="128"/>
      <c r="F148" s="142"/>
      <c r="G148" s="128"/>
      <c r="H148" s="242" t="s">
        <v>184</v>
      </c>
      <c r="I148" s="175" t="s">
        <v>383</v>
      </c>
      <c r="J148" s="157" t="s">
        <v>250</v>
      </c>
      <c r="K148" s="157"/>
      <c r="L148" s="160" t="s">
        <v>383</v>
      </c>
      <c r="M148" s="157" t="s">
        <v>251</v>
      </c>
      <c r="N148" s="157"/>
      <c r="O148" s="160" t="s">
        <v>383</v>
      </c>
      <c r="P148" s="157" t="s">
        <v>252</v>
      </c>
      <c r="Q148" s="162"/>
      <c r="R148" s="162"/>
      <c r="S148" s="162"/>
      <c r="T148" s="162"/>
      <c r="U148" s="162"/>
      <c r="V148" s="162"/>
      <c r="W148" s="162"/>
      <c r="X148" s="163"/>
      <c r="Y148" s="154"/>
      <c r="Z148" s="147"/>
      <c r="AA148" s="147"/>
      <c r="AB148" s="148"/>
      <c r="AC148" s="819"/>
      <c r="AD148" s="820"/>
      <c r="AE148" s="820"/>
      <c r="AF148" s="821"/>
      <c r="AI148" s="109" t="str">
        <f>"25:ninti_senmoncare_code:" &amp; IF(I148="■",1,IF(O148="■",3,IF(L148="■",2,0)))</f>
        <v>25:ninti_senmoncare_code:0</v>
      </c>
    </row>
    <row r="149" spans="1:36" ht="18.75" customHeight="1" x14ac:dyDescent="0.2">
      <c r="A149" s="139"/>
      <c r="B149" s="123"/>
      <c r="C149" s="140"/>
      <c r="D149" s="141"/>
      <c r="E149" s="128"/>
      <c r="F149" s="142"/>
      <c r="G149" s="128"/>
      <c r="H149" s="242" t="s">
        <v>113</v>
      </c>
      <c r="I149" s="175" t="s">
        <v>383</v>
      </c>
      <c r="J149" s="157" t="s">
        <v>317</v>
      </c>
      <c r="K149" s="157"/>
      <c r="L149" s="159"/>
      <c r="M149" s="159"/>
      <c r="N149" s="160" t="s">
        <v>383</v>
      </c>
      <c r="O149" s="157" t="s">
        <v>318</v>
      </c>
      <c r="P149" s="162"/>
      <c r="Q149" s="162"/>
      <c r="R149" s="162"/>
      <c r="S149" s="160" t="s">
        <v>383</v>
      </c>
      <c r="T149" s="157" t="s">
        <v>319</v>
      </c>
      <c r="U149" s="162"/>
      <c r="V149" s="162"/>
      <c r="W149" s="162"/>
      <c r="X149" s="163"/>
      <c r="Y149" s="154"/>
      <c r="Z149" s="147"/>
      <c r="AA149" s="147"/>
      <c r="AB149" s="148"/>
      <c r="AC149" s="819"/>
      <c r="AD149" s="820"/>
      <c r="AE149" s="820"/>
      <c r="AF149" s="821"/>
      <c r="AI149" s="109" t="str">
        <f>"25:"&amp;IF(AND(I149="□",N149="□",S149="□"),"koriha_gengo_code:0:riha_seisin_code:0:koriha_other_code:0",IF(I149="■","koriha_gengo_code:2","koriha_gengo_code:1")
&amp;IF(N149="■",":riha_seisin_code:2",":riha_seisin_code:1")
&amp;IF(S149="■",":koriha_other_code:2",":koriha_other_code:1"))</f>
        <v>25:koriha_gengo_code:0:riha_seisin_code:0:koriha_other_code:0</v>
      </c>
    </row>
    <row r="150" spans="1:36" ht="18.75" customHeight="1" x14ac:dyDescent="0.2">
      <c r="A150" s="139"/>
      <c r="B150" s="123"/>
      <c r="C150" s="140"/>
      <c r="D150" s="141"/>
      <c r="E150" s="128"/>
      <c r="F150" s="142"/>
      <c r="G150" s="128"/>
      <c r="H150" s="250" t="s">
        <v>442</v>
      </c>
      <c r="I150" s="175" t="s">
        <v>383</v>
      </c>
      <c r="J150" s="157" t="s">
        <v>250</v>
      </c>
      <c r="K150" s="157"/>
      <c r="L150" s="160" t="s">
        <v>383</v>
      </c>
      <c r="M150" s="157" t="s">
        <v>251</v>
      </c>
      <c r="N150" s="157"/>
      <c r="O150" s="160" t="s">
        <v>383</v>
      </c>
      <c r="P150" s="157" t="s">
        <v>252</v>
      </c>
      <c r="Q150" s="162"/>
      <c r="R150" s="162"/>
      <c r="S150" s="162"/>
      <c r="T150" s="162"/>
      <c r="U150" s="251"/>
      <c r="V150" s="251"/>
      <c r="W150" s="251"/>
      <c r="X150" s="252"/>
      <c r="Y150" s="154"/>
      <c r="Z150" s="147"/>
      <c r="AA150" s="147"/>
      <c r="AB150" s="148"/>
      <c r="AC150" s="819"/>
      <c r="AD150" s="820"/>
      <c r="AE150" s="820"/>
      <c r="AF150" s="821"/>
      <c r="AI150" s="109" t="str">
        <f>"25:field225:" &amp; IF(I150="■",1,IF(L150="■",2,IF(O150="■",3,0)))</f>
        <v>25:field225:0</v>
      </c>
    </row>
    <row r="151" spans="1:36" ht="18.75" customHeight="1" x14ac:dyDescent="0.2">
      <c r="A151" s="139"/>
      <c r="B151" s="123"/>
      <c r="C151" s="140"/>
      <c r="D151" s="141"/>
      <c r="E151" s="128"/>
      <c r="F151" s="142"/>
      <c r="G151" s="128"/>
      <c r="H151" s="242" t="s">
        <v>118</v>
      </c>
      <c r="I151" s="175" t="s">
        <v>383</v>
      </c>
      <c r="J151" s="157" t="s">
        <v>250</v>
      </c>
      <c r="K151" s="157"/>
      <c r="L151" s="160" t="s">
        <v>383</v>
      </c>
      <c r="M151" s="157" t="s">
        <v>258</v>
      </c>
      <c r="N151" s="157"/>
      <c r="O151" s="160" t="s">
        <v>383</v>
      </c>
      <c r="P151" s="157" t="s">
        <v>259</v>
      </c>
      <c r="Q151" s="207"/>
      <c r="R151" s="160" t="s">
        <v>383</v>
      </c>
      <c r="S151" s="157" t="s">
        <v>283</v>
      </c>
      <c r="T151" s="157"/>
      <c r="U151" s="157"/>
      <c r="V151" s="157"/>
      <c r="W151" s="157"/>
      <c r="X151" s="165"/>
      <c r="Y151" s="154"/>
      <c r="Z151" s="147"/>
      <c r="AA151" s="147"/>
      <c r="AB151" s="148"/>
      <c r="AC151" s="819"/>
      <c r="AD151" s="820"/>
      <c r="AE151" s="820"/>
      <c r="AF151" s="821"/>
      <c r="AI151" s="109" t="str">
        <f>"25:serteikyo_kyoka_code:" &amp; IF(I151="■",1,IF(L151="■",6,IF(O151="■",5,IF(R151="■",7,0))))</f>
        <v>25:serteikyo_kyoka_code:0</v>
      </c>
    </row>
    <row r="152" spans="1:36" ht="18.75" customHeight="1" x14ac:dyDescent="0.2">
      <c r="A152" s="139"/>
      <c r="B152" s="123"/>
      <c r="C152" s="140"/>
      <c r="D152" s="141"/>
      <c r="E152" s="128"/>
      <c r="F152" s="142"/>
      <c r="G152" s="128"/>
      <c r="H152" s="713" t="s">
        <v>805</v>
      </c>
      <c r="I152" s="727" t="s">
        <v>383</v>
      </c>
      <c r="J152" s="726" t="s">
        <v>250</v>
      </c>
      <c r="K152" s="726"/>
      <c r="L152" s="727" t="s">
        <v>383</v>
      </c>
      <c r="M152" s="726" t="s">
        <v>267</v>
      </c>
      <c r="N152" s="726"/>
      <c r="O152" s="168"/>
      <c r="P152" s="168"/>
      <c r="Q152" s="168"/>
      <c r="R152" s="168"/>
      <c r="S152" s="168"/>
      <c r="T152" s="168"/>
      <c r="U152" s="168"/>
      <c r="V152" s="168"/>
      <c r="W152" s="168"/>
      <c r="X152" s="173"/>
      <c r="Y152" s="154"/>
      <c r="Z152" s="147"/>
      <c r="AA152" s="147"/>
      <c r="AB152" s="148"/>
      <c r="AC152" s="819"/>
      <c r="AD152" s="820"/>
      <c r="AE152" s="820"/>
      <c r="AF152" s="821"/>
      <c r="AI152" s="109" t="str">
        <f>"25:field221:" &amp; IF(I152="■",1,IF(L152="■",2,0))</f>
        <v>25:field221:0</v>
      </c>
    </row>
    <row r="153" spans="1:36" ht="18.75" customHeight="1" x14ac:dyDescent="0.2">
      <c r="A153" s="139"/>
      <c r="B153" s="123"/>
      <c r="C153" s="140"/>
      <c r="D153" s="141"/>
      <c r="E153" s="128"/>
      <c r="F153" s="142"/>
      <c r="G153" s="128"/>
      <c r="H153" s="737"/>
      <c r="I153" s="727"/>
      <c r="J153" s="726"/>
      <c r="K153" s="726"/>
      <c r="L153" s="727"/>
      <c r="M153" s="726"/>
      <c r="N153" s="726"/>
      <c r="O153" s="169"/>
      <c r="P153" s="169"/>
      <c r="Q153" s="169"/>
      <c r="R153" s="169"/>
      <c r="S153" s="169"/>
      <c r="T153" s="169"/>
      <c r="U153" s="169"/>
      <c r="V153" s="169"/>
      <c r="W153" s="169"/>
      <c r="X153" s="170"/>
      <c r="Y153" s="154"/>
      <c r="Z153" s="147"/>
      <c r="AA153" s="147"/>
      <c r="AB153" s="148"/>
      <c r="AC153" s="819"/>
      <c r="AD153" s="820"/>
      <c r="AE153" s="820"/>
      <c r="AF153" s="821"/>
    </row>
    <row r="154" spans="1:36" s="621" customFormat="1" ht="26.4" customHeight="1" x14ac:dyDescent="0.2">
      <c r="A154" s="139"/>
      <c r="B154" s="670"/>
      <c r="C154" s="140"/>
      <c r="D154" s="141"/>
      <c r="E154" s="128"/>
      <c r="F154" s="142"/>
      <c r="G154" s="143"/>
      <c r="H154" s="713" t="s">
        <v>790</v>
      </c>
      <c r="I154" s="642" t="s">
        <v>383</v>
      </c>
      <c r="J154" s="616" t="s">
        <v>627</v>
      </c>
      <c r="K154" s="616"/>
      <c r="L154" s="615"/>
      <c r="M154" s="644" t="s">
        <v>383</v>
      </c>
      <c r="N154" s="616" t="s">
        <v>791</v>
      </c>
      <c r="O154" s="617"/>
      <c r="P154" s="615"/>
      <c r="Q154" s="644" t="s">
        <v>383</v>
      </c>
      <c r="R154" s="618" t="s">
        <v>792</v>
      </c>
      <c r="S154" s="615"/>
      <c r="T154" s="615"/>
      <c r="U154" s="615"/>
      <c r="V154" s="618"/>
      <c r="W154" s="619"/>
      <c r="X154" s="620"/>
      <c r="Y154" s="154"/>
      <c r="Z154" s="147"/>
      <c r="AA154" s="147"/>
      <c r="AB154" s="148"/>
      <c r="AC154" s="819"/>
      <c r="AD154" s="820"/>
      <c r="AE154" s="820"/>
      <c r="AF154" s="821"/>
    </row>
    <row r="155" spans="1:36" s="621" customFormat="1" ht="30.6" customHeight="1" x14ac:dyDescent="0.2">
      <c r="A155" s="139"/>
      <c r="B155" s="670"/>
      <c r="C155" s="140"/>
      <c r="D155" s="141"/>
      <c r="E155" s="128"/>
      <c r="F155" s="142"/>
      <c r="G155" s="143"/>
      <c r="H155" s="714"/>
      <c r="I155" s="645" t="s">
        <v>383</v>
      </c>
      <c r="J155" s="623" t="s">
        <v>793</v>
      </c>
      <c r="K155" s="623"/>
      <c r="L155" s="622"/>
      <c r="M155" s="645" t="s">
        <v>383</v>
      </c>
      <c r="N155" s="623" t="s">
        <v>794</v>
      </c>
      <c r="O155" s="624"/>
      <c r="P155" s="622"/>
      <c r="Q155" s="645" t="s">
        <v>383</v>
      </c>
      <c r="R155" s="623" t="s">
        <v>795</v>
      </c>
      <c r="S155" s="622"/>
      <c r="T155" s="623"/>
      <c r="U155" s="645" t="s">
        <v>383</v>
      </c>
      <c r="V155" s="623" t="s">
        <v>796</v>
      </c>
      <c r="W155" s="625"/>
      <c r="X155" s="626"/>
      <c r="Y155" s="154"/>
      <c r="Z155" s="147"/>
      <c r="AA155" s="147"/>
      <c r="AB155" s="148"/>
      <c r="AC155" s="819"/>
      <c r="AD155" s="820"/>
      <c r="AE155" s="820"/>
      <c r="AF155" s="821"/>
    </row>
    <row r="156" spans="1:36" ht="18.75" customHeight="1" x14ac:dyDescent="0.2">
      <c r="A156" s="129"/>
      <c r="B156" s="116"/>
      <c r="C156" s="130"/>
      <c r="D156" s="131"/>
      <c r="E156" s="121"/>
      <c r="F156" s="132"/>
      <c r="G156" s="121"/>
      <c r="H156" s="366" t="s">
        <v>97</v>
      </c>
      <c r="I156" s="412" t="s">
        <v>383</v>
      </c>
      <c r="J156" s="368" t="s">
        <v>300</v>
      </c>
      <c r="K156" s="369"/>
      <c r="L156" s="370"/>
      <c r="M156" s="371" t="s">
        <v>383</v>
      </c>
      <c r="N156" s="368" t="s">
        <v>301</v>
      </c>
      <c r="O156" s="457"/>
      <c r="P156" s="369"/>
      <c r="Q156" s="369"/>
      <c r="R156" s="369"/>
      <c r="S156" s="369"/>
      <c r="T156" s="369"/>
      <c r="U156" s="369"/>
      <c r="V156" s="369"/>
      <c r="W156" s="369"/>
      <c r="X156" s="421"/>
      <c r="Y156" s="134" t="s">
        <v>383</v>
      </c>
      <c r="Z156" s="119" t="s">
        <v>249</v>
      </c>
      <c r="AA156" s="119"/>
      <c r="AB156" s="137"/>
      <c r="AC156" s="816"/>
      <c r="AD156" s="817"/>
      <c r="AE156" s="817"/>
      <c r="AF156" s="818"/>
      <c r="AG156" s="109" t="str">
        <f>"ser_code = '" &amp; IF(A165="■",25,"") &amp; "'"</f>
        <v>ser_code = ''</v>
      </c>
      <c r="AH156" s="109"/>
      <c r="AI156" s="109" t="str">
        <f>"25:yakan_kinmu_code:" &amp; IF(I156="■",1,IF(M156="■",6,0))</f>
        <v>25:yakan_kinmu_code:0</v>
      </c>
      <c r="AJ156" s="109" t="str">
        <f>"25:field203:" &amp; IF(Y156="■",1,IF(Y157="■",2,0))</f>
        <v>25:field203:0</v>
      </c>
    </row>
    <row r="157" spans="1:36" ht="18.75" customHeight="1" x14ac:dyDescent="0.2">
      <c r="A157" s="139"/>
      <c r="B157" s="123"/>
      <c r="C157" s="140"/>
      <c r="D157" s="141"/>
      <c r="E157" s="128"/>
      <c r="F157" s="142"/>
      <c r="G157" s="128"/>
      <c r="H157" s="738" t="s">
        <v>93</v>
      </c>
      <c r="I157" s="374" t="s">
        <v>383</v>
      </c>
      <c r="J157" s="409" t="s">
        <v>250</v>
      </c>
      <c r="K157" s="409"/>
      <c r="L157" s="504"/>
      <c r="M157" s="443" t="s">
        <v>383</v>
      </c>
      <c r="N157" s="409" t="s">
        <v>289</v>
      </c>
      <c r="O157" s="409"/>
      <c r="P157" s="504"/>
      <c r="Q157" s="443" t="s">
        <v>383</v>
      </c>
      <c r="R157" s="506" t="s">
        <v>290</v>
      </c>
      <c r="S157" s="506"/>
      <c r="T157" s="506"/>
      <c r="U157" s="443" t="s">
        <v>383</v>
      </c>
      <c r="V157" s="506" t="s">
        <v>291</v>
      </c>
      <c r="W157" s="506"/>
      <c r="X157" s="510"/>
      <c r="Y157" s="118" t="s">
        <v>383</v>
      </c>
      <c r="Z157" s="126" t="s">
        <v>255</v>
      </c>
      <c r="AA157" s="147"/>
      <c r="AB157" s="148"/>
      <c r="AC157" s="819"/>
      <c r="AD157" s="820"/>
      <c r="AE157" s="820"/>
      <c r="AF157" s="821"/>
      <c r="AG157" s="109" t="str">
        <f>"25:sisetukbn_code:" &amp; IF(D165="■",6,IF(D166="■",8,0))</f>
        <v>25:sisetukbn_code:0</v>
      </c>
      <c r="AH157" s="109"/>
      <c r="AI157" s="109" t="str">
        <f>"25:"&amp;IF(AND(I157="□",M157="□",Q157="□",U157="□",I158="□",M158="□",Q158="□"),"ketu_doctor_code:0",IF(I157="■","ketu_doctor_code:1:ketu_kangos_code:1:ketu_kshoku_code:1:ketu_rryoho_code:1:ketu_sryoho_code:1:ketu_gengo_code:1",
IF(M157="■","ketu_doctor_code:2","ketu_doctor_code:1")
&amp;IF(Q157="■",":ketu_kangos_code:2",":ketu_kangos_code:1")
&amp;IF(U157="■",":ketu_kshoku_code:2",":ketu_kshoku_code:1")
&amp;IF(I158="■",":ketu_rryoho_code:2",":ketu_rryoho_code:1")
&amp;IF(M158="■",":ketu_sryoho_code:2",":ketu_sryoho_code:1")
&amp;IF(Q158="■",":ketu_gengo_code:2",":ketu_gengo_code:1")))</f>
        <v>25:ketu_doctor_code:0</v>
      </c>
      <c r="AJ157" s="109"/>
    </row>
    <row r="158" spans="1:36" ht="18.75" customHeight="1" x14ac:dyDescent="0.2">
      <c r="A158" s="139"/>
      <c r="B158" s="123"/>
      <c r="C158" s="140"/>
      <c r="D158" s="141"/>
      <c r="E158" s="128"/>
      <c r="F158" s="142"/>
      <c r="G158" s="128"/>
      <c r="H158" s="739"/>
      <c r="I158" s="460" t="s">
        <v>383</v>
      </c>
      <c r="J158" s="381" t="s">
        <v>292</v>
      </c>
      <c r="K158" s="384"/>
      <c r="L158" s="384"/>
      <c r="M158" s="383" t="s">
        <v>383</v>
      </c>
      <c r="N158" s="381" t="s">
        <v>293</v>
      </c>
      <c r="O158" s="384"/>
      <c r="P158" s="384"/>
      <c r="Q158" s="383" t="s">
        <v>383</v>
      </c>
      <c r="R158" s="381" t="s">
        <v>294</v>
      </c>
      <c r="S158" s="384"/>
      <c r="T158" s="384"/>
      <c r="U158" s="384"/>
      <c r="V158" s="384"/>
      <c r="W158" s="384"/>
      <c r="X158" s="385"/>
      <c r="Y158" s="154"/>
      <c r="Z158" s="147"/>
      <c r="AA158" s="147"/>
      <c r="AB158" s="148"/>
      <c r="AC158" s="819"/>
      <c r="AD158" s="820"/>
      <c r="AE158" s="820"/>
      <c r="AF158" s="821"/>
      <c r="AG158" s="109"/>
      <c r="AH158" s="109"/>
      <c r="AI158" s="109"/>
      <c r="AJ158" s="109"/>
    </row>
    <row r="159" spans="1:36" ht="18.75" customHeight="1" x14ac:dyDescent="0.2">
      <c r="A159" s="139"/>
      <c r="B159" s="123"/>
      <c r="C159" s="140"/>
      <c r="D159" s="141"/>
      <c r="E159" s="128"/>
      <c r="F159" s="142"/>
      <c r="G159" s="128"/>
      <c r="H159" s="364" t="s">
        <v>98</v>
      </c>
      <c r="I159" s="374" t="s">
        <v>383</v>
      </c>
      <c r="J159" s="350" t="s">
        <v>265</v>
      </c>
      <c r="K159" s="351"/>
      <c r="L159" s="352"/>
      <c r="M159" s="353" t="s">
        <v>383</v>
      </c>
      <c r="N159" s="350" t="s">
        <v>266</v>
      </c>
      <c r="O159" s="355"/>
      <c r="P159" s="351"/>
      <c r="Q159" s="351"/>
      <c r="R159" s="351"/>
      <c r="S159" s="351"/>
      <c r="T159" s="351"/>
      <c r="U159" s="351"/>
      <c r="V159" s="351"/>
      <c r="W159" s="351"/>
      <c r="X159" s="365"/>
      <c r="Y159" s="154"/>
      <c r="Z159" s="147"/>
      <c r="AA159" s="147"/>
      <c r="AB159" s="148"/>
      <c r="AC159" s="819"/>
      <c r="AD159" s="820"/>
      <c r="AE159" s="820"/>
      <c r="AF159" s="821"/>
      <c r="AG159" s="109"/>
      <c r="AH159" s="109"/>
      <c r="AI159" s="109" t="str">
        <f>"25:unitcare_code:" &amp; IF(I159="■",1,IF(M159="■",2,0))</f>
        <v>25:unitcare_code:0</v>
      </c>
      <c r="AJ159" s="109"/>
    </row>
    <row r="160" spans="1:36" s="109" customFormat="1" ht="18.75" customHeight="1" x14ac:dyDescent="0.2">
      <c r="A160" s="139"/>
      <c r="B160" s="123"/>
      <c r="C160" s="248"/>
      <c r="D160" s="249"/>
      <c r="E160" s="128"/>
      <c r="F160" s="142"/>
      <c r="G160" s="143"/>
      <c r="H160" s="364" t="s">
        <v>107</v>
      </c>
      <c r="I160" s="349" t="s">
        <v>383</v>
      </c>
      <c r="J160" s="350" t="s">
        <v>395</v>
      </c>
      <c r="K160" s="351"/>
      <c r="L160" s="352"/>
      <c r="M160" s="353" t="s">
        <v>383</v>
      </c>
      <c r="N160" s="350" t="s">
        <v>396</v>
      </c>
      <c r="O160" s="351"/>
      <c r="P160" s="351"/>
      <c r="Q160" s="351"/>
      <c r="R160" s="351"/>
      <c r="S160" s="351"/>
      <c r="T160" s="351"/>
      <c r="U160" s="351"/>
      <c r="V160" s="351"/>
      <c r="W160" s="351"/>
      <c r="X160" s="365"/>
      <c r="Y160" s="154"/>
      <c r="Z160" s="147"/>
      <c r="AA160" s="147"/>
      <c r="AB160" s="148"/>
      <c r="AC160" s="819"/>
      <c r="AD160" s="820"/>
      <c r="AE160" s="820"/>
      <c r="AF160" s="821"/>
      <c r="AI160" s="109" t="str">
        <f>"25:sintaikousoku_code:" &amp; IF(I160="■",1,IF(M160="■",2,0))</f>
        <v>25:sintaikousoku_code:0</v>
      </c>
    </row>
    <row r="161" spans="1:35" ht="19.5" customHeight="1" x14ac:dyDescent="0.2">
      <c r="A161" s="139"/>
      <c r="B161" s="123"/>
      <c r="C161" s="140"/>
      <c r="D161" s="141"/>
      <c r="E161" s="128"/>
      <c r="F161" s="142"/>
      <c r="G161" s="143"/>
      <c r="H161" s="348" t="s">
        <v>430</v>
      </c>
      <c r="I161" s="374" t="s">
        <v>383</v>
      </c>
      <c r="J161" s="350" t="s">
        <v>395</v>
      </c>
      <c r="K161" s="351"/>
      <c r="L161" s="352"/>
      <c r="M161" s="353" t="s">
        <v>383</v>
      </c>
      <c r="N161" s="350" t="s">
        <v>431</v>
      </c>
      <c r="O161" s="350"/>
      <c r="P161" s="350"/>
      <c r="Q161" s="355"/>
      <c r="R161" s="355"/>
      <c r="S161" s="355"/>
      <c r="T161" s="355"/>
      <c r="U161" s="355"/>
      <c r="V161" s="355"/>
      <c r="W161" s="355"/>
      <c r="X161" s="356"/>
      <c r="Y161" s="147"/>
      <c r="Z161" s="147"/>
      <c r="AA161" s="147"/>
      <c r="AB161" s="148"/>
      <c r="AC161" s="819"/>
      <c r="AD161" s="820"/>
      <c r="AE161" s="820"/>
      <c r="AF161" s="821"/>
      <c r="AI161" s="109" t="str">
        <f>"25:field223:" &amp; IF(I161="■",1,IF(M161="■",2,0))</f>
        <v>25:field223:0</v>
      </c>
    </row>
    <row r="162" spans="1:35" ht="19.5" customHeight="1" x14ac:dyDescent="0.2">
      <c r="A162" s="139"/>
      <c r="B162" s="123"/>
      <c r="C162" s="140"/>
      <c r="D162" s="141"/>
      <c r="E162" s="128"/>
      <c r="F162" s="142"/>
      <c r="G162" s="143"/>
      <c r="H162" s="155" t="s">
        <v>448</v>
      </c>
      <c r="I162" s="175" t="s">
        <v>383</v>
      </c>
      <c r="J162" s="169" t="s">
        <v>395</v>
      </c>
      <c r="K162" s="179"/>
      <c r="L162" s="254"/>
      <c r="M162" s="203" t="s">
        <v>383</v>
      </c>
      <c r="N162" s="169" t="s">
        <v>431</v>
      </c>
      <c r="O162" s="169"/>
      <c r="P162" s="169"/>
      <c r="Q162" s="152"/>
      <c r="R162" s="152"/>
      <c r="S162" s="152"/>
      <c r="T162" s="152"/>
      <c r="U162" s="152"/>
      <c r="V162" s="152"/>
      <c r="W162" s="152"/>
      <c r="X162" s="153"/>
      <c r="Y162" s="147"/>
      <c r="Z162" s="126"/>
      <c r="AA162" s="147"/>
      <c r="AB162" s="148"/>
      <c r="AC162" s="819"/>
      <c r="AD162" s="820"/>
      <c r="AE162" s="820"/>
      <c r="AF162" s="821"/>
      <c r="AI162" s="109" t="str">
        <f>"25:field232:" &amp; IF(I162="■",1,IF(M162="■",2,0))</f>
        <v>25:field232:0</v>
      </c>
    </row>
    <row r="163" spans="1:35" ht="18.75" customHeight="1" x14ac:dyDescent="0.2">
      <c r="A163" s="139"/>
      <c r="B163" s="123"/>
      <c r="C163" s="140"/>
      <c r="D163" s="141"/>
      <c r="E163" s="128"/>
      <c r="F163" s="142"/>
      <c r="G163" s="128"/>
      <c r="H163" s="242" t="s">
        <v>111</v>
      </c>
      <c r="I163" s="175" t="s">
        <v>383</v>
      </c>
      <c r="J163" s="157" t="s">
        <v>250</v>
      </c>
      <c r="K163" s="158"/>
      <c r="L163" s="160" t="s">
        <v>383</v>
      </c>
      <c r="M163" s="157" t="s">
        <v>267</v>
      </c>
      <c r="N163" s="207"/>
      <c r="O163" s="162"/>
      <c r="P163" s="162"/>
      <c r="Q163" s="162"/>
      <c r="R163" s="162"/>
      <c r="S163" s="162"/>
      <c r="T163" s="162"/>
      <c r="U163" s="162"/>
      <c r="V163" s="162"/>
      <c r="W163" s="162"/>
      <c r="X163" s="163"/>
      <c r="Y163" s="154"/>
      <c r="Z163" s="147"/>
      <c r="AA163" s="147"/>
      <c r="AB163" s="148"/>
      <c r="AC163" s="819"/>
      <c r="AD163" s="820"/>
      <c r="AE163" s="820"/>
      <c r="AF163" s="821"/>
      <c r="AI163" s="109" t="str">
        <f>"25:yakinhaiti_code:" &amp; IF(I163="■",1,IF(L163="■",2,0))</f>
        <v>25:yakinhaiti_code:0</v>
      </c>
    </row>
    <row r="164" spans="1:35" ht="18.75" customHeight="1" x14ac:dyDescent="0.2">
      <c r="A164" s="139"/>
      <c r="B164" s="123"/>
      <c r="C164" s="140"/>
      <c r="D164" s="141"/>
      <c r="E164" s="128"/>
      <c r="F164" s="142"/>
      <c r="G164" s="128"/>
      <c r="H164" s="242" t="s">
        <v>486</v>
      </c>
      <c r="I164" s="175" t="s">
        <v>383</v>
      </c>
      <c r="J164" s="157" t="s">
        <v>250</v>
      </c>
      <c r="K164" s="158"/>
      <c r="L164" s="160" t="s">
        <v>383</v>
      </c>
      <c r="M164" s="157" t="s">
        <v>267</v>
      </c>
      <c r="N164" s="207"/>
      <c r="O164" s="162"/>
      <c r="P164" s="162"/>
      <c r="Q164" s="162"/>
      <c r="R164" s="162"/>
      <c r="S164" s="162"/>
      <c r="T164" s="162"/>
      <c r="U164" s="162"/>
      <c r="V164" s="162"/>
      <c r="W164" s="162"/>
      <c r="X164" s="163"/>
      <c r="Y164" s="154"/>
      <c r="Z164" s="147"/>
      <c r="AA164" s="147"/>
      <c r="AB164" s="148"/>
      <c r="AC164" s="819"/>
      <c r="AD164" s="820"/>
      <c r="AE164" s="820"/>
      <c r="AF164" s="821"/>
      <c r="AI164" s="109" t="str">
        <f>"25:jyakuninti_uke_code:" &amp; IF(I164="■",1,IF(L164="■",2,0))</f>
        <v>25:jyakuninti_uke_code:0</v>
      </c>
    </row>
    <row r="165" spans="1:35" ht="18.75" customHeight="1" x14ac:dyDescent="0.2">
      <c r="A165" s="125" t="s">
        <v>383</v>
      </c>
      <c r="B165" s="123">
        <v>25</v>
      </c>
      <c r="C165" s="140" t="s">
        <v>489</v>
      </c>
      <c r="D165" s="125" t="s">
        <v>383</v>
      </c>
      <c r="E165" s="128" t="s">
        <v>323</v>
      </c>
      <c r="F165" s="142"/>
      <c r="G165" s="128"/>
      <c r="H165" s="242" t="s">
        <v>95</v>
      </c>
      <c r="I165" s="175" t="s">
        <v>383</v>
      </c>
      <c r="J165" s="157" t="s">
        <v>265</v>
      </c>
      <c r="K165" s="158"/>
      <c r="L165" s="159"/>
      <c r="M165" s="160" t="s">
        <v>383</v>
      </c>
      <c r="N165" s="157" t="s">
        <v>266</v>
      </c>
      <c r="O165" s="162"/>
      <c r="P165" s="162"/>
      <c r="Q165" s="162"/>
      <c r="R165" s="162"/>
      <c r="S165" s="162"/>
      <c r="T165" s="162"/>
      <c r="U165" s="162"/>
      <c r="V165" s="162"/>
      <c r="W165" s="162"/>
      <c r="X165" s="163"/>
      <c r="Y165" s="154"/>
      <c r="Z165" s="147"/>
      <c r="AA165" s="147"/>
      <c r="AB165" s="148"/>
      <c r="AC165" s="819"/>
      <c r="AD165" s="820"/>
      <c r="AE165" s="820"/>
      <c r="AF165" s="821"/>
      <c r="AI165" s="109" t="str">
        <f>"25:sougei_code:" &amp; IF(I165="■",1,IF(M165="■",2,0))</f>
        <v>25:sougei_code:0</v>
      </c>
    </row>
    <row r="166" spans="1:35" ht="18.75" customHeight="1" x14ac:dyDescent="0.2">
      <c r="A166" s="139"/>
      <c r="B166" s="123"/>
      <c r="C166" s="140"/>
      <c r="D166" s="125" t="s">
        <v>383</v>
      </c>
      <c r="E166" s="128" t="s">
        <v>325</v>
      </c>
      <c r="F166" s="142"/>
      <c r="G166" s="128"/>
      <c r="H166" s="242" t="s">
        <v>114</v>
      </c>
      <c r="I166" s="175" t="s">
        <v>383</v>
      </c>
      <c r="J166" s="157" t="s">
        <v>320</v>
      </c>
      <c r="K166" s="162"/>
      <c r="L166" s="162"/>
      <c r="M166" s="162"/>
      <c r="N166" s="162"/>
      <c r="O166" s="162"/>
      <c r="P166" s="160" t="s">
        <v>383</v>
      </c>
      <c r="Q166" s="157" t="s">
        <v>321</v>
      </c>
      <c r="R166" s="162"/>
      <c r="S166" s="162"/>
      <c r="T166" s="162"/>
      <c r="U166" s="162"/>
      <c r="V166" s="162"/>
      <c r="W166" s="162"/>
      <c r="X166" s="163"/>
      <c r="Y166" s="154"/>
      <c r="Z166" s="147"/>
      <c r="AA166" s="147"/>
      <c r="AB166" s="148"/>
      <c r="AC166" s="819"/>
      <c r="AD166" s="820"/>
      <c r="AE166" s="820"/>
      <c r="AF166" s="821"/>
      <c r="AI166" s="109" t="str">
        <f>"25:" &amp; IF(AND(I166="□",P166="□"),"tokusin_jyusho_code:0:tokusin_yakuzai_code:0",IF(I166="■","tokusin_jyusho_code:2","tokusin_jyusho_code:1")
&amp;IF(P166="■",":tokusin_yakuzai_code:2",":tokusin_yakuzai_code:1"))</f>
        <v>25:tokusin_jyusho_code:0:tokusin_yakuzai_code:0</v>
      </c>
    </row>
    <row r="167" spans="1:35" ht="18.75" customHeight="1" x14ac:dyDescent="0.2">
      <c r="A167" s="139"/>
      <c r="B167" s="123"/>
      <c r="C167" s="140"/>
      <c r="D167" s="141"/>
      <c r="E167" s="128"/>
      <c r="F167" s="142"/>
      <c r="G167" s="128"/>
      <c r="H167" s="242" t="s">
        <v>490</v>
      </c>
      <c r="I167" s="175" t="s">
        <v>383</v>
      </c>
      <c r="J167" s="157" t="s">
        <v>250</v>
      </c>
      <c r="K167" s="158"/>
      <c r="L167" s="160" t="s">
        <v>383</v>
      </c>
      <c r="M167" s="157" t="s">
        <v>267</v>
      </c>
      <c r="N167" s="207"/>
      <c r="O167" s="207"/>
      <c r="P167" s="207"/>
      <c r="Q167" s="207"/>
      <c r="R167" s="207"/>
      <c r="S167" s="207"/>
      <c r="T167" s="207"/>
      <c r="U167" s="207"/>
      <c r="V167" s="207"/>
      <c r="W167" s="207"/>
      <c r="X167" s="208"/>
      <c r="Y167" s="154"/>
      <c r="Z167" s="147"/>
      <c r="AA167" s="147"/>
      <c r="AB167" s="148"/>
      <c r="AC167" s="819"/>
      <c r="AD167" s="820"/>
      <c r="AE167" s="820"/>
      <c r="AF167" s="821"/>
      <c r="AI167" s="109" t="str">
        <f>"25:field198:" &amp; IF(I167="■",1,IF(L167="■",2,0))</f>
        <v>25:field198:0</v>
      </c>
    </row>
    <row r="168" spans="1:35" ht="18.75" customHeight="1" x14ac:dyDescent="0.2">
      <c r="A168" s="139"/>
      <c r="B168" s="123"/>
      <c r="C168" s="140"/>
      <c r="D168" s="141"/>
      <c r="E168" s="128"/>
      <c r="F168" s="142"/>
      <c r="G168" s="128"/>
      <c r="H168" s="242" t="s">
        <v>178</v>
      </c>
      <c r="I168" s="175" t="s">
        <v>383</v>
      </c>
      <c r="J168" s="157" t="s">
        <v>250</v>
      </c>
      <c r="K168" s="158"/>
      <c r="L168" s="160" t="s">
        <v>383</v>
      </c>
      <c r="M168" s="157" t="s">
        <v>267</v>
      </c>
      <c r="N168" s="207"/>
      <c r="O168" s="207"/>
      <c r="P168" s="207"/>
      <c r="Q168" s="207"/>
      <c r="R168" s="207"/>
      <c r="S168" s="207"/>
      <c r="T168" s="207"/>
      <c r="U168" s="207"/>
      <c r="V168" s="207"/>
      <c r="W168" s="207"/>
      <c r="X168" s="208"/>
      <c r="Y168" s="154"/>
      <c r="Z168" s="147"/>
      <c r="AA168" s="147"/>
      <c r="AB168" s="148"/>
      <c r="AC168" s="819"/>
      <c r="AD168" s="820"/>
      <c r="AE168" s="820"/>
      <c r="AF168" s="821"/>
      <c r="AI168" s="109" t="str">
        <f>"25:field199:" &amp; IF(I168="■",1,IF(L168="■",2,0))</f>
        <v>25:field199:0</v>
      </c>
    </row>
    <row r="169" spans="1:35" ht="19.5" customHeight="1" x14ac:dyDescent="0.2">
      <c r="A169" s="139"/>
      <c r="B169" s="123"/>
      <c r="C169" s="140"/>
      <c r="D169" s="141"/>
      <c r="E169" s="128"/>
      <c r="F169" s="142"/>
      <c r="G169" s="143"/>
      <c r="H169" s="155" t="s">
        <v>433</v>
      </c>
      <c r="I169" s="175" t="s">
        <v>383</v>
      </c>
      <c r="J169" s="157" t="s">
        <v>250</v>
      </c>
      <c r="K169" s="157"/>
      <c r="L169" s="160" t="s">
        <v>383</v>
      </c>
      <c r="M169" s="157" t="s">
        <v>267</v>
      </c>
      <c r="N169" s="157"/>
      <c r="O169" s="162"/>
      <c r="P169" s="157"/>
      <c r="Q169" s="162"/>
      <c r="R169" s="162"/>
      <c r="S169" s="162"/>
      <c r="T169" s="162"/>
      <c r="U169" s="162"/>
      <c r="V169" s="162"/>
      <c r="W169" s="162"/>
      <c r="X169" s="163"/>
      <c r="Y169" s="147"/>
      <c r="Z169" s="147"/>
      <c r="AA169" s="147"/>
      <c r="AB169" s="148"/>
      <c r="AC169" s="819"/>
      <c r="AD169" s="820"/>
      <c r="AE169" s="820"/>
      <c r="AF169" s="821"/>
      <c r="AI169" s="109" t="str">
        <f>"25:field224:" &amp; IF(I169="■",1,IF(L169="■",2,0))</f>
        <v>25:field224:0</v>
      </c>
    </row>
    <row r="170" spans="1:35" ht="18.75" customHeight="1" x14ac:dyDescent="0.2">
      <c r="A170" s="139"/>
      <c r="B170" s="123"/>
      <c r="C170" s="140"/>
      <c r="D170" s="141"/>
      <c r="E170" s="128"/>
      <c r="F170" s="142"/>
      <c r="G170" s="128"/>
      <c r="H170" s="242" t="s">
        <v>112</v>
      </c>
      <c r="I170" s="175" t="s">
        <v>383</v>
      </c>
      <c r="J170" s="157" t="s">
        <v>250</v>
      </c>
      <c r="K170" s="158"/>
      <c r="L170" s="160" t="s">
        <v>383</v>
      </c>
      <c r="M170" s="157" t="s">
        <v>267</v>
      </c>
      <c r="N170" s="207"/>
      <c r="O170" s="162"/>
      <c r="P170" s="162"/>
      <c r="Q170" s="162"/>
      <c r="R170" s="162"/>
      <c r="S170" s="162"/>
      <c r="T170" s="162"/>
      <c r="U170" s="162"/>
      <c r="V170" s="162"/>
      <c r="W170" s="162"/>
      <c r="X170" s="163"/>
      <c r="Y170" s="154"/>
      <c r="Z170" s="147"/>
      <c r="AA170" s="147"/>
      <c r="AB170" s="148"/>
      <c r="AC170" s="819"/>
      <c r="AD170" s="820"/>
      <c r="AE170" s="820"/>
      <c r="AF170" s="821"/>
      <c r="AI170" s="109" t="str">
        <f>"25:ryouyoushoku_code:" &amp; IF(I170="■",1,IF(L170="■",2,0))</f>
        <v>25:ryouyoushoku_code:0</v>
      </c>
    </row>
    <row r="171" spans="1:35" ht="18.75" customHeight="1" x14ac:dyDescent="0.2">
      <c r="A171" s="139"/>
      <c r="B171" s="123"/>
      <c r="C171" s="140"/>
      <c r="D171" s="141"/>
      <c r="E171" s="128"/>
      <c r="F171" s="142"/>
      <c r="G171" s="128"/>
      <c r="H171" s="242" t="s">
        <v>184</v>
      </c>
      <c r="I171" s="175" t="s">
        <v>383</v>
      </c>
      <c r="J171" s="157" t="s">
        <v>250</v>
      </c>
      <c r="K171" s="157"/>
      <c r="L171" s="160" t="s">
        <v>383</v>
      </c>
      <c r="M171" s="157" t="s">
        <v>251</v>
      </c>
      <c r="N171" s="157"/>
      <c r="O171" s="160" t="s">
        <v>383</v>
      </c>
      <c r="P171" s="157" t="s">
        <v>252</v>
      </c>
      <c r="Q171" s="162"/>
      <c r="R171" s="162"/>
      <c r="S171" s="162"/>
      <c r="T171" s="162"/>
      <c r="U171" s="162"/>
      <c r="V171" s="162"/>
      <c r="W171" s="162"/>
      <c r="X171" s="163"/>
      <c r="Y171" s="154"/>
      <c r="Z171" s="147"/>
      <c r="AA171" s="147"/>
      <c r="AB171" s="148"/>
      <c r="AC171" s="819"/>
      <c r="AD171" s="820"/>
      <c r="AE171" s="820"/>
      <c r="AF171" s="821"/>
      <c r="AI171" s="109" t="str">
        <f>"25:ninti_senmoncare_code:" &amp; IF(I171="■",1,IF(O171="■",3,IF(L171="■",2,0)))</f>
        <v>25:ninti_senmoncare_code:0</v>
      </c>
    </row>
    <row r="172" spans="1:35" ht="18.75" customHeight="1" x14ac:dyDescent="0.2">
      <c r="A172" s="139"/>
      <c r="B172" s="123"/>
      <c r="C172" s="140"/>
      <c r="D172" s="141"/>
      <c r="E172" s="128"/>
      <c r="F172" s="142"/>
      <c r="G172" s="128"/>
      <c r="H172" s="242" t="s">
        <v>113</v>
      </c>
      <c r="I172" s="175" t="s">
        <v>383</v>
      </c>
      <c r="J172" s="157" t="s">
        <v>317</v>
      </c>
      <c r="K172" s="157"/>
      <c r="L172" s="159"/>
      <c r="M172" s="159"/>
      <c r="N172" s="160" t="s">
        <v>383</v>
      </c>
      <c r="O172" s="157" t="s">
        <v>318</v>
      </c>
      <c r="P172" s="162"/>
      <c r="Q172" s="162"/>
      <c r="R172" s="162"/>
      <c r="S172" s="160" t="s">
        <v>383</v>
      </c>
      <c r="T172" s="157" t="s">
        <v>319</v>
      </c>
      <c r="U172" s="162"/>
      <c r="V172" s="162"/>
      <c r="W172" s="162"/>
      <c r="X172" s="163"/>
      <c r="Y172" s="154"/>
      <c r="Z172" s="147"/>
      <c r="AA172" s="147"/>
      <c r="AB172" s="148"/>
      <c r="AC172" s="819"/>
      <c r="AD172" s="820"/>
      <c r="AE172" s="820"/>
      <c r="AF172" s="821"/>
      <c r="AI172" s="109" t="str">
        <f>"25:"&amp;IF(AND(I172="□",N172="□",S172="□"),"koriha_gengo_code:0:riha_seisin_code:0:koriha_other_code:0",IF(I172="■","koriha_gengo_code:2","koriha_gengo_code:1")
&amp;IF(N172="■",":riha_seisin_code:2",":riha_seisin_code:1")
&amp;IF(S172="■",":koriha_other_code:2",":koriha_other_code:1"))</f>
        <v>25:koriha_gengo_code:0:riha_seisin_code:0:koriha_other_code:0</v>
      </c>
    </row>
    <row r="173" spans="1:35" ht="18.75" customHeight="1" x14ac:dyDescent="0.2">
      <c r="A173" s="139"/>
      <c r="B173" s="123"/>
      <c r="C173" s="140"/>
      <c r="D173" s="141"/>
      <c r="E173" s="128"/>
      <c r="F173" s="142"/>
      <c r="G173" s="128"/>
      <c r="H173" s="250" t="s">
        <v>442</v>
      </c>
      <c r="I173" s="175" t="s">
        <v>383</v>
      </c>
      <c r="J173" s="157" t="s">
        <v>250</v>
      </c>
      <c r="K173" s="157"/>
      <c r="L173" s="160" t="s">
        <v>383</v>
      </c>
      <c r="M173" s="157" t="s">
        <v>251</v>
      </c>
      <c r="N173" s="157"/>
      <c r="O173" s="160" t="s">
        <v>383</v>
      </c>
      <c r="P173" s="157" t="s">
        <v>252</v>
      </c>
      <c r="Q173" s="162"/>
      <c r="R173" s="162"/>
      <c r="S173" s="162"/>
      <c r="T173" s="162"/>
      <c r="U173" s="251"/>
      <c r="V173" s="251"/>
      <c r="W173" s="251"/>
      <c r="X173" s="252"/>
      <c r="Y173" s="154"/>
      <c r="Z173" s="147"/>
      <c r="AA173" s="147"/>
      <c r="AB173" s="148"/>
      <c r="AC173" s="819"/>
      <c r="AD173" s="820"/>
      <c r="AE173" s="820"/>
      <c r="AF173" s="821"/>
      <c r="AI173" s="109" t="str">
        <f>"25:field225:" &amp; IF(I173="■",1,IF(L173="■",2,IF(O173="■",3,0)))</f>
        <v>25:field225:0</v>
      </c>
    </row>
    <row r="174" spans="1:35" ht="18.75" customHeight="1" x14ac:dyDescent="0.2">
      <c r="A174" s="139"/>
      <c r="B174" s="123"/>
      <c r="C174" s="140"/>
      <c r="D174" s="141"/>
      <c r="E174" s="128"/>
      <c r="F174" s="142"/>
      <c r="G174" s="128"/>
      <c r="H174" s="242" t="s">
        <v>118</v>
      </c>
      <c r="I174" s="175" t="s">
        <v>383</v>
      </c>
      <c r="J174" s="157" t="s">
        <v>250</v>
      </c>
      <c r="K174" s="157"/>
      <c r="L174" s="160" t="s">
        <v>383</v>
      </c>
      <c r="M174" s="157" t="s">
        <v>258</v>
      </c>
      <c r="N174" s="157"/>
      <c r="O174" s="160" t="s">
        <v>383</v>
      </c>
      <c r="P174" s="157" t="s">
        <v>259</v>
      </c>
      <c r="Q174" s="207"/>
      <c r="R174" s="160" t="s">
        <v>383</v>
      </c>
      <c r="S174" s="157" t="s">
        <v>283</v>
      </c>
      <c r="T174" s="157"/>
      <c r="U174" s="157"/>
      <c r="V174" s="157"/>
      <c r="W174" s="157"/>
      <c r="X174" s="165"/>
      <c r="Y174" s="154"/>
      <c r="Z174" s="147"/>
      <c r="AA174" s="147"/>
      <c r="AB174" s="148"/>
      <c r="AC174" s="819"/>
      <c r="AD174" s="820"/>
      <c r="AE174" s="820"/>
      <c r="AF174" s="821"/>
      <c r="AI174" s="109" t="str">
        <f>"25:serteikyo_kyoka_code:" &amp; IF(I174="■",1,IF(L174="■",6,IF(O174="■",5,IF(R174="■",7,0))))</f>
        <v>25:serteikyo_kyoka_code:0</v>
      </c>
    </row>
    <row r="175" spans="1:35" ht="18.75" customHeight="1" x14ac:dyDescent="0.2">
      <c r="A175" s="139"/>
      <c r="B175" s="123"/>
      <c r="C175" s="140"/>
      <c r="D175" s="141"/>
      <c r="E175" s="128"/>
      <c r="F175" s="142"/>
      <c r="G175" s="128"/>
      <c r="H175" s="713" t="s">
        <v>805</v>
      </c>
      <c r="I175" s="727" t="s">
        <v>383</v>
      </c>
      <c r="J175" s="726" t="s">
        <v>250</v>
      </c>
      <c r="K175" s="726"/>
      <c r="L175" s="727" t="s">
        <v>383</v>
      </c>
      <c r="M175" s="726" t="s">
        <v>267</v>
      </c>
      <c r="N175" s="726"/>
      <c r="O175" s="168"/>
      <c r="P175" s="168"/>
      <c r="Q175" s="168"/>
      <c r="R175" s="168"/>
      <c r="S175" s="168"/>
      <c r="T175" s="168"/>
      <c r="U175" s="168"/>
      <c r="V175" s="168"/>
      <c r="W175" s="168"/>
      <c r="X175" s="173"/>
      <c r="Y175" s="154"/>
      <c r="Z175" s="147"/>
      <c r="AA175" s="147"/>
      <c r="AB175" s="148"/>
      <c r="AC175" s="819"/>
      <c r="AD175" s="820"/>
      <c r="AE175" s="820"/>
      <c r="AF175" s="821"/>
      <c r="AI175" s="109" t="str">
        <f>"25:field221:" &amp; IF(I175="■",1,IF(L175="■",2,0))</f>
        <v>25:field221:0</v>
      </c>
    </row>
    <row r="176" spans="1:35" ht="18.75" customHeight="1" x14ac:dyDescent="0.2">
      <c r="A176" s="139"/>
      <c r="B176" s="123"/>
      <c r="C176" s="140"/>
      <c r="D176" s="141"/>
      <c r="E176" s="128"/>
      <c r="F176" s="142"/>
      <c r="G176" s="128"/>
      <c r="H176" s="737"/>
      <c r="I176" s="727"/>
      <c r="J176" s="726"/>
      <c r="K176" s="726"/>
      <c r="L176" s="727"/>
      <c r="M176" s="726"/>
      <c r="N176" s="726"/>
      <c r="O176" s="169"/>
      <c r="P176" s="169"/>
      <c r="Q176" s="169"/>
      <c r="R176" s="169"/>
      <c r="S176" s="169"/>
      <c r="T176" s="169"/>
      <c r="U176" s="169"/>
      <c r="V176" s="169"/>
      <c r="W176" s="169"/>
      <c r="X176" s="170"/>
      <c r="Y176" s="154"/>
      <c r="Z176" s="147"/>
      <c r="AA176" s="147"/>
      <c r="AB176" s="148"/>
      <c r="AC176" s="819"/>
      <c r="AD176" s="820"/>
      <c r="AE176" s="820"/>
      <c r="AF176" s="821"/>
    </row>
    <row r="177" spans="1:36" s="621" customFormat="1" ht="19.8" customHeight="1" x14ac:dyDescent="0.2">
      <c r="A177" s="139"/>
      <c r="B177" s="670"/>
      <c r="C177" s="140"/>
      <c r="D177" s="141"/>
      <c r="E177" s="128"/>
      <c r="F177" s="142"/>
      <c r="G177" s="143"/>
      <c r="H177" s="713" t="s">
        <v>790</v>
      </c>
      <c r="I177" s="642" t="s">
        <v>383</v>
      </c>
      <c r="J177" s="616" t="s">
        <v>627</v>
      </c>
      <c r="K177" s="616"/>
      <c r="L177" s="615"/>
      <c r="M177" s="644" t="s">
        <v>383</v>
      </c>
      <c r="N177" s="616" t="s">
        <v>791</v>
      </c>
      <c r="O177" s="617"/>
      <c r="P177" s="615"/>
      <c r="Q177" s="644" t="s">
        <v>383</v>
      </c>
      <c r="R177" s="618" t="s">
        <v>792</v>
      </c>
      <c r="S177" s="615"/>
      <c r="T177" s="615"/>
      <c r="U177" s="615"/>
      <c r="V177" s="618"/>
      <c r="W177" s="619"/>
      <c r="X177" s="620"/>
      <c r="Y177" s="154"/>
      <c r="Z177" s="147"/>
      <c r="AA177" s="147"/>
      <c r="AB177" s="148"/>
      <c r="AC177" s="819"/>
      <c r="AD177" s="820"/>
      <c r="AE177" s="820"/>
      <c r="AF177" s="821"/>
    </row>
    <row r="178" spans="1:36" s="621" customFormat="1" ht="21" customHeight="1" x14ac:dyDescent="0.2">
      <c r="A178" s="139"/>
      <c r="B178" s="670"/>
      <c r="C178" s="140"/>
      <c r="D178" s="141"/>
      <c r="E178" s="128"/>
      <c r="F178" s="142"/>
      <c r="G178" s="143"/>
      <c r="H178" s="714"/>
      <c r="I178" s="645" t="s">
        <v>383</v>
      </c>
      <c r="J178" s="623" t="s">
        <v>793</v>
      </c>
      <c r="K178" s="623"/>
      <c r="L178" s="622"/>
      <c r="M178" s="645" t="s">
        <v>383</v>
      </c>
      <c r="N178" s="623" t="s">
        <v>794</v>
      </c>
      <c r="O178" s="624"/>
      <c r="P178" s="622"/>
      <c r="Q178" s="645" t="s">
        <v>383</v>
      </c>
      <c r="R178" s="623" t="s">
        <v>795</v>
      </c>
      <c r="S178" s="622"/>
      <c r="T178" s="623"/>
      <c r="U178" s="645" t="s">
        <v>383</v>
      </c>
      <c r="V178" s="623" t="s">
        <v>796</v>
      </c>
      <c r="W178" s="625"/>
      <c r="X178" s="626"/>
      <c r="Y178" s="154"/>
      <c r="Z178" s="147"/>
      <c r="AA178" s="147"/>
      <c r="AB178" s="148"/>
      <c r="AC178" s="819"/>
      <c r="AD178" s="820"/>
      <c r="AE178" s="820"/>
      <c r="AF178" s="821"/>
    </row>
    <row r="179" spans="1:36" ht="18.75" customHeight="1" x14ac:dyDescent="0.2">
      <c r="A179" s="129"/>
      <c r="B179" s="116"/>
      <c r="C179" s="130"/>
      <c r="D179" s="131"/>
      <c r="E179" s="121"/>
      <c r="F179" s="132"/>
      <c r="G179" s="121"/>
      <c r="H179" s="366" t="s">
        <v>97</v>
      </c>
      <c r="I179" s="374" t="s">
        <v>383</v>
      </c>
      <c r="J179" s="368" t="s">
        <v>300</v>
      </c>
      <c r="K179" s="369"/>
      <c r="L179" s="370"/>
      <c r="M179" s="371" t="s">
        <v>383</v>
      </c>
      <c r="N179" s="368" t="s">
        <v>301</v>
      </c>
      <c r="O179" s="457"/>
      <c r="P179" s="369"/>
      <c r="Q179" s="369"/>
      <c r="R179" s="369"/>
      <c r="S179" s="369"/>
      <c r="T179" s="369"/>
      <c r="U179" s="369"/>
      <c r="V179" s="369"/>
      <c r="W179" s="369"/>
      <c r="X179" s="421"/>
      <c r="Y179" s="134" t="s">
        <v>383</v>
      </c>
      <c r="Z179" s="119" t="s">
        <v>249</v>
      </c>
      <c r="AA179" s="119"/>
      <c r="AB179" s="137"/>
      <c r="AC179" s="816"/>
      <c r="AD179" s="817"/>
      <c r="AE179" s="817"/>
      <c r="AF179" s="818"/>
      <c r="AG179" s="109" t="str">
        <f>"ser_code = '" &amp; IF(A188="■",25,"") &amp; "'"</f>
        <v>ser_code = ''</v>
      </c>
      <c r="AH179" s="109"/>
      <c r="AI179" s="109" t="str">
        <f>"25:yakan_kinmu_code:" &amp; IF(I179="■",1,IF(M179="■",6,0))</f>
        <v>25:yakan_kinmu_code:0</v>
      </c>
      <c r="AJ179" s="109" t="str">
        <f>"25:field203:" &amp; IF(Y179="■",1,IF(Y180="■",2,0))</f>
        <v>25:field203:0</v>
      </c>
    </row>
    <row r="180" spans="1:36" ht="18.75" customHeight="1" x14ac:dyDescent="0.2">
      <c r="A180" s="139"/>
      <c r="B180" s="123"/>
      <c r="C180" s="140"/>
      <c r="D180" s="141"/>
      <c r="E180" s="128"/>
      <c r="F180" s="142"/>
      <c r="G180" s="128"/>
      <c r="H180" s="738" t="s">
        <v>93</v>
      </c>
      <c r="I180" s="374" t="s">
        <v>383</v>
      </c>
      <c r="J180" s="409" t="s">
        <v>250</v>
      </c>
      <c r="K180" s="409"/>
      <c r="L180" s="504"/>
      <c r="M180" s="443" t="s">
        <v>383</v>
      </c>
      <c r="N180" s="409" t="s">
        <v>289</v>
      </c>
      <c r="O180" s="409"/>
      <c r="P180" s="504"/>
      <c r="Q180" s="443" t="s">
        <v>383</v>
      </c>
      <c r="R180" s="506" t="s">
        <v>290</v>
      </c>
      <c r="S180" s="506"/>
      <c r="T180" s="506"/>
      <c r="U180" s="443" t="s">
        <v>383</v>
      </c>
      <c r="V180" s="506" t="s">
        <v>291</v>
      </c>
      <c r="W180" s="506"/>
      <c r="X180" s="510"/>
      <c r="Y180" s="118" t="s">
        <v>383</v>
      </c>
      <c r="Z180" s="126" t="s">
        <v>255</v>
      </c>
      <c r="AA180" s="147"/>
      <c r="AB180" s="148"/>
      <c r="AC180" s="819"/>
      <c r="AD180" s="820"/>
      <c r="AE180" s="820"/>
      <c r="AF180" s="821"/>
      <c r="AG180" s="109" t="str">
        <f>"25:sisetukbn_code:" &amp; IF(D188="■",9,0)</f>
        <v>25:sisetukbn_code:0</v>
      </c>
      <c r="AH180" s="109"/>
      <c r="AI180" s="109" t="str">
        <f>"25:"&amp;IF(AND(I180="□",M180="□",Q180="□",U180="□",I181="□",M181="□",Q181="□"),"ketu_doctor_code:0",IF(I180="■","ketu_doctor_code:1:ketu_kangos_code:1:ketu_kshoku_code:1:ketu_rryoho_code:1:ketu_sryoho_code:1:ketu_gengo_code:1",
IF(M180="■","ketu_doctor_code:2","ketu_doctor_code:1")
&amp;IF(Q180="■",":ketu_kangos_code:2",":ketu_kangos_code:1")
&amp;IF(U180="■",":ketu_kshoku_code:2",":ketu_kshoku_code:1")
&amp;IF(I181="■",":ketu_rryoho_code:2",":ketu_rryoho_code:1")
&amp;IF(M181="■",":ketu_sryoho_code:2",":ketu_sryoho_code:1")
&amp;IF(Q181="■",":ketu_gengo_code:2",":ketu_gengo_code:1")))</f>
        <v>25:ketu_doctor_code:0</v>
      </c>
      <c r="AJ180" s="109"/>
    </row>
    <row r="181" spans="1:36" ht="18.75" customHeight="1" x14ac:dyDescent="0.2">
      <c r="A181" s="139"/>
      <c r="B181" s="123"/>
      <c r="C181" s="140"/>
      <c r="D181" s="141"/>
      <c r="E181" s="128"/>
      <c r="F181" s="142"/>
      <c r="G181" s="128"/>
      <c r="H181" s="739"/>
      <c r="I181" s="460" t="s">
        <v>383</v>
      </c>
      <c r="J181" s="381" t="s">
        <v>292</v>
      </c>
      <c r="K181" s="384"/>
      <c r="L181" s="384"/>
      <c r="M181" s="383" t="s">
        <v>383</v>
      </c>
      <c r="N181" s="381" t="s">
        <v>293</v>
      </c>
      <c r="O181" s="384"/>
      <c r="P181" s="384"/>
      <c r="Q181" s="383" t="s">
        <v>383</v>
      </c>
      <c r="R181" s="381" t="s">
        <v>294</v>
      </c>
      <c r="S181" s="384"/>
      <c r="T181" s="384"/>
      <c r="U181" s="384"/>
      <c r="V181" s="384"/>
      <c r="W181" s="384"/>
      <c r="X181" s="385"/>
      <c r="Y181" s="154"/>
      <c r="Z181" s="147"/>
      <c r="AA181" s="147"/>
      <c r="AB181" s="148"/>
      <c r="AC181" s="819"/>
      <c r="AD181" s="820"/>
      <c r="AE181" s="820"/>
      <c r="AF181" s="821"/>
    </row>
    <row r="182" spans="1:36" ht="18.75" customHeight="1" x14ac:dyDescent="0.2">
      <c r="A182" s="139"/>
      <c r="B182" s="123"/>
      <c r="C182" s="140"/>
      <c r="D182" s="141"/>
      <c r="E182" s="128"/>
      <c r="F182" s="142"/>
      <c r="G182" s="128"/>
      <c r="H182" s="364" t="s">
        <v>98</v>
      </c>
      <c r="I182" s="374" t="s">
        <v>383</v>
      </c>
      <c r="J182" s="350" t="s">
        <v>265</v>
      </c>
      <c r="K182" s="351"/>
      <c r="L182" s="352"/>
      <c r="M182" s="353" t="s">
        <v>383</v>
      </c>
      <c r="N182" s="350" t="s">
        <v>266</v>
      </c>
      <c r="O182" s="355"/>
      <c r="P182" s="351"/>
      <c r="Q182" s="355"/>
      <c r="R182" s="355"/>
      <c r="S182" s="355"/>
      <c r="T182" s="355"/>
      <c r="U182" s="355"/>
      <c r="V182" s="355"/>
      <c r="W182" s="355"/>
      <c r="X182" s="356"/>
      <c r="Y182" s="154"/>
      <c r="Z182" s="147"/>
      <c r="AA182" s="147"/>
      <c r="AB182" s="148"/>
      <c r="AC182" s="819"/>
      <c r="AD182" s="820"/>
      <c r="AE182" s="820"/>
      <c r="AF182" s="821"/>
      <c r="AI182" s="109" t="str">
        <f>"25:unitcare_code:" &amp; IF(I182="■",1,IF(M182="■",2,0))</f>
        <v>25:unitcare_code:0</v>
      </c>
    </row>
    <row r="183" spans="1:36" s="109" customFormat="1" ht="18.75" customHeight="1" x14ac:dyDescent="0.2">
      <c r="A183" s="139"/>
      <c r="B183" s="123"/>
      <c r="C183" s="248"/>
      <c r="D183" s="249"/>
      <c r="E183" s="128"/>
      <c r="F183" s="142"/>
      <c r="G183" s="143"/>
      <c r="H183" s="364" t="s">
        <v>107</v>
      </c>
      <c r="I183" s="349" t="s">
        <v>383</v>
      </c>
      <c r="J183" s="350" t="s">
        <v>395</v>
      </c>
      <c r="K183" s="351"/>
      <c r="L183" s="352"/>
      <c r="M183" s="353" t="s">
        <v>383</v>
      </c>
      <c r="N183" s="350" t="s">
        <v>396</v>
      </c>
      <c r="O183" s="351"/>
      <c r="P183" s="351"/>
      <c r="Q183" s="351"/>
      <c r="R183" s="351"/>
      <c r="S183" s="351"/>
      <c r="T183" s="351"/>
      <c r="U183" s="351"/>
      <c r="V183" s="351"/>
      <c r="W183" s="351"/>
      <c r="X183" s="365"/>
      <c r="Y183" s="154"/>
      <c r="Z183" s="147"/>
      <c r="AA183" s="147"/>
      <c r="AB183" s="148"/>
      <c r="AC183" s="819"/>
      <c r="AD183" s="820"/>
      <c r="AE183" s="820"/>
      <c r="AF183" s="821"/>
      <c r="AI183" s="109" t="str">
        <f>"25:sintaikousoku_code:" &amp; IF(I183="■",1,IF(M183="■",2,0))</f>
        <v>25:sintaikousoku_code:0</v>
      </c>
    </row>
    <row r="184" spans="1:36" ht="19.5" customHeight="1" x14ac:dyDescent="0.2">
      <c r="A184" s="139"/>
      <c r="B184" s="123"/>
      <c r="C184" s="140"/>
      <c r="D184" s="141"/>
      <c r="E184" s="128"/>
      <c r="F184" s="142"/>
      <c r="G184" s="143"/>
      <c r="H184" s="155" t="s">
        <v>430</v>
      </c>
      <c r="I184" s="175" t="s">
        <v>383</v>
      </c>
      <c r="J184" s="157" t="s">
        <v>395</v>
      </c>
      <c r="K184" s="158"/>
      <c r="L184" s="159"/>
      <c r="M184" s="160" t="s">
        <v>383</v>
      </c>
      <c r="N184" s="157" t="s">
        <v>431</v>
      </c>
      <c r="O184" s="157"/>
      <c r="P184" s="157"/>
      <c r="Q184" s="162"/>
      <c r="R184" s="162"/>
      <c r="S184" s="162"/>
      <c r="T184" s="162"/>
      <c r="U184" s="162"/>
      <c r="V184" s="162"/>
      <c r="W184" s="162"/>
      <c r="X184" s="163"/>
      <c r="Y184" s="147"/>
      <c r="Z184" s="147"/>
      <c r="AA184" s="147"/>
      <c r="AB184" s="148"/>
      <c r="AC184" s="819"/>
      <c r="AD184" s="820"/>
      <c r="AE184" s="820"/>
      <c r="AF184" s="821"/>
      <c r="AI184" s="109" t="str">
        <f>"25:field223:" &amp; IF(I184="■",1,IF(M184="■",2,0))</f>
        <v>25:field223:0</v>
      </c>
    </row>
    <row r="185" spans="1:36" ht="19.5" customHeight="1" x14ac:dyDescent="0.2">
      <c r="A185" s="139"/>
      <c r="B185" s="123"/>
      <c r="C185" s="140"/>
      <c r="D185" s="141"/>
      <c r="E185" s="128"/>
      <c r="F185" s="142"/>
      <c r="G185" s="143"/>
      <c r="H185" s="155" t="s">
        <v>448</v>
      </c>
      <c r="I185" s="175" t="s">
        <v>383</v>
      </c>
      <c r="J185" s="169" t="s">
        <v>395</v>
      </c>
      <c r="K185" s="179"/>
      <c r="L185" s="254"/>
      <c r="M185" s="203" t="s">
        <v>383</v>
      </c>
      <c r="N185" s="169" t="s">
        <v>431</v>
      </c>
      <c r="O185" s="169"/>
      <c r="P185" s="169"/>
      <c r="Q185" s="152"/>
      <c r="R185" s="152"/>
      <c r="S185" s="152"/>
      <c r="T185" s="152"/>
      <c r="U185" s="152"/>
      <c r="V185" s="152"/>
      <c r="W185" s="152"/>
      <c r="X185" s="153"/>
      <c r="Y185" s="147"/>
      <c r="Z185" s="126"/>
      <c r="AA185" s="147"/>
      <c r="AB185" s="148"/>
      <c r="AC185" s="819"/>
      <c r="AD185" s="820"/>
      <c r="AE185" s="820"/>
      <c r="AF185" s="821"/>
      <c r="AI185" s="109" t="str">
        <f>"25:field232:" &amp; IF(I185="■",1,IF(M185="■",2,0))</f>
        <v>25:field232:0</v>
      </c>
    </row>
    <row r="186" spans="1:36" s="1" customFormat="1" ht="19.5" customHeight="1" x14ac:dyDescent="0.2">
      <c r="A186" s="88"/>
      <c r="B186" s="91"/>
      <c r="C186" s="87"/>
      <c r="D186" s="89"/>
      <c r="E186" s="90"/>
      <c r="F186" s="101"/>
      <c r="G186" s="100"/>
      <c r="H186" s="348" t="s">
        <v>638</v>
      </c>
      <c r="I186" s="406" t="s">
        <v>383</v>
      </c>
      <c r="J186" s="381" t="s">
        <v>624</v>
      </c>
      <c r="K186" s="472"/>
      <c r="L186" s="382"/>
      <c r="M186" s="408" t="s">
        <v>383</v>
      </c>
      <c r="N186" s="381" t="s">
        <v>625</v>
      </c>
      <c r="O186" s="473"/>
      <c r="P186" s="381"/>
      <c r="Q186" s="474"/>
      <c r="R186" s="474"/>
      <c r="S186" s="474"/>
      <c r="T186" s="474"/>
      <c r="U186" s="474"/>
      <c r="V186" s="474"/>
      <c r="W186" s="474"/>
      <c r="X186" s="475"/>
      <c r="Y186" s="85"/>
      <c r="Z186" s="2"/>
      <c r="AA186" s="92"/>
      <c r="AB186" s="102"/>
      <c r="AC186" s="819"/>
      <c r="AD186" s="820"/>
      <c r="AE186" s="820"/>
      <c r="AF186" s="821"/>
      <c r="AI186" s="109" t="str">
        <f>"25:field242:" &amp; IF(I186="■",1,IF(M186="■",2,0))</f>
        <v>25:field242:0</v>
      </c>
    </row>
    <row r="187" spans="1:36" ht="18.75" customHeight="1" x14ac:dyDescent="0.2">
      <c r="A187" s="139"/>
      <c r="B187" s="123"/>
      <c r="C187" s="140"/>
      <c r="D187" s="141"/>
      <c r="E187" s="128"/>
      <c r="F187" s="142"/>
      <c r="G187" s="128"/>
      <c r="H187" s="242" t="s">
        <v>111</v>
      </c>
      <c r="I187" s="175" t="s">
        <v>383</v>
      </c>
      <c r="J187" s="157" t="s">
        <v>250</v>
      </c>
      <c r="K187" s="158"/>
      <c r="L187" s="160" t="s">
        <v>383</v>
      </c>
      <c r="M187" s="157" t="s">
        <v>267</v>
      </c>
      <c r="N187" s="207"/>
      <c r="O187" s="162"/>
      <c r="P187" s="162"/>
      <c r="Q187" s="162"/>
      <c r="R187" s="162"/>
      <c r="S187" s="162"/>
      <c r="T187" s="162"/>
      <c r="U187" s="162"/>
      <c r="V187" s="162"/>
      <c r="W187" s="162"/>
      <c r="X187" s="163"/>
      <c r="Y187" s="154"/>
      <c r="Z187" s="147"/>
      <c r="AA187" s="147"/>
      <c r="AB187" s="148"/>
      <c r="AC187" s="819"/>
      <c r="AD187" s="820"/>
      <c r="AE187" s="820"/>
      <c r="AF187" s="821"/>
      <c r="AI187" s="109" t="str">
        <f>"25:yakinhaiti_code:" &amp; IF(I187="■",1,IF(L187="■",2,0))</f>
        <v>25:yakinhaiti_code:0</v>
      </c>
    </row>
    <row r="188" spans="1:36" ht="18.75" customHeight="1" x14ac:dyDescent="0.2">
      <c r="A188" s="125" t="s">
        <v>383</v>
      </c>
      <c r="B188" s="123">
        <v>25</v>
      </c>
      <c r="C188" s="140" t="s">
        <v>491</v>
      </c>
      <c r="D188" s="125" t="s">
        <v>383</v>
      </c>
      <c r="E188" s="128" t="s">
        <v>326</v>
      </c>
      <c r="F188" s="142"/>
      <c r="G188" s="128"/>
      <c r="H188" s="242" t="s">
        <v>486</v>
      </c>
      <c r="I188" s="175" t="s">
        <v>383</v>
      </c>
      <c r="J188" s="157" t="s">
        <v>250</v>
      </c>
      <c r="K188" s="158"/>
      <c r="L188" s="160" t="s">
        <v>383</v>
      </c>
      <c r="M188" s="157" t="s">
        <v>267</v>
      </c>
      <c r="N188" s="207"/>
      <c r="O188" s="162"/>
      <c r="P188" s="162"/>
      <c r="Q188" s="162"/>
      <c r="R188" s="162"/>
      <c r="S188" s="162"/>
      <c r="T188" s="162"/>
      <c r="U188" s="162"/>
      <c r="V188" s="162"/>
      <c r="W188" s="162"/>
      <c r="X188" s="163"/>
      <c r="Y188" s="154"/>
      <c r="Z188" s="147"/>
      <c r="AA188" s="147"/>
      <c r="AB188" s="148"/>
      <c r="AC188" s="819"/>
      <c r="AD188" s="820"/>
      <c r="AE188" s="820"/>
      <c r="AF188" s="821"/>
      <c r="AI188" s="109" t="str">
        <f>"25:jyakuninti_uke_code:" &amp; IF(I188="■",1,IF(L188="■",2,0))</f>
        <v>25:jyakuninti_uke_code:0</v>
      </c>
    </row>
    <row r="189" spans="1:36" ht="18.75" customHeight="1" x14ac:dyDescent="0.2">
      <c r="A189" s="139"/>
      <c r="B189" s="123"/>
      <c r="C189" s="140"/>
      <c r="D189" s="141"/>
      <c r="E189" s="128"/>
      <c r="F189" s="142"/>
      <c r="G189" s="128"/>
      <c r="H189" s="242" t="s">
        <v>95</v>
      </c>
      <c r="I189" s="175" t="s">
        <v>383</v>
      </c>
      <c r="J189" s="157" t="s">
        <v>265</v>
      </c>
      <c r="K189" s="158"/>
      <c r="L189" s="159"/>
      <c r="M189" s="160" t="s">
        <v>383</v>
      </c>
      <c r="N189" s="157" t="s">
        <v>266</v>
      </c>
      <c r="O189" s="162"/>
      <c r="P189" s="162"/>
      <c r="Q189" s="162"/>
      <c r="R189" s="162"/>
      <c r="S189" s="162"/>
      <c r="T189" s="162"/>
      <c r="U189" s="162"/>
      <c r="V189" s="162"/>
      <c r="W189" s="162"/>
      <c r="X189" s="163"/>
      <c r="Y189" s="154"/>
      <c r="Z189" s="147"/>
      <c r="AA189" s="147"/>
      <c r="AB189" s="148"/>
      <c r="AC189" s="819"/>
      <c r="AD189" s="820"/>
      <c r="AE189" s="820"/>
      <c r="AF189" s="821"/>
      <c r="AI189" s="109" t="str">
        <f>"25:sougei_code:" &amp; IF(I189="■",1,IF(M189="■",2,0))</f>
        <v>25:sougei_code:0</v>
      </c>
    </row>
    <row r="190" spans="1:36" ht="19.5" customHeight="1" x14ac:dyDescent="0.2">
      <c r="A190" s="139"/>
      <c r="B190" s="123"/>
      <c r="C190" s="140"/>
      <c r="D190" s="141"/>
      <c r="E190" s="128"/>
      <c r="F190" s="142"/>
      <c r="G190" s="143"/>
      <c r="H190" s="155" t="s">
        <v>433</v>
      </c>
      <c r="I190" s="175" t="s">
        <v>383</v>
      </c>
      <c r="J190" s="157" t="s">
        <v>250</v>
      </c>
      <c r="K190" s="157"/>
      <c r="L190" s="160" t="s">
        <v>383</v>
      </c>
      <c r="M190" s="157" t="s">
        <v>267</v>
      </c>
      <c r="N190" s="157"/>
      <c r="O190" s="162"/>
      <c r="P190" s="157"/>
      <c r="Q190" s="162"/>
      <c r="R190" s="162"/>
      <c r="S190" s="162"/>
      <c r="T190" s="162"/>
      <c r="U190" s="162"/>
      <c r="V190" s="162"/>
      <c r="W190" s="162"/>
      <c r="X190" s="163"/>
      <c r="Y190" s="147"/>
      <c r="Z190" s="147"/>
      <c r="AA190" s="147"/>
      <c r="AB190" s="148"/>
      <c r="AC190" s="819"/>
      <c r="AD190" s="820"/>
      <c r="AE190" s="820"/>
      <c r="AF190" s="821"/>
      <c r="AI190" s="109" t="str">
        <f>"25:field224:" &amp; IF(I190="■",1,IF(L190="■",2,0))</f>
        <v>25:field224:0</v>
      </c>
    </row>
    <row r="191" spans="1:36" ht="18.75" customHeight="1" x14ac:dyDescent="0.2">
      <c r="A191" s="139"/>
      <c r="B191" s="123"/>
      <c r="C191" s="140"/>
      <c r="D191" s="141"/>
      <c r="E191" s="128"/>
      <c r="F191" s="142"/>
      <c r="G191" s="128"/>
      <c r="H191" s="242" t="s">
        <v>112</v>
      </c>
      <c r="I191" s="175" t="s">
        <v>383</v>
      </c>
      <c r="J191" s="157" t="s">
        <v>250</v>
      </c>
      <c r="K191" s="158"/>
      <c r="L191" s="160" t="s">
        <v>383</v>
      </c>
      <c r="M191" s="157" t="s">
        <v>267</v>
      </c>
      <c r="N191" s="207"/>
      <c r="O191" s="162"/>
      <c r="P191" s="162"/>
      <c r="Q191" s="162"/>
      <c r="R191" s="162"/>
      <c r="S191" s="162"/>
      <c r="T191" s="162"/>
      <c r="U191" s="162"/>
      <c r="V191" s="162"/>
      <c r="W191" s="162"/>
      <c r="X191" s="163"/>
      <c r="Y191" s="154"/>
      <c r="Z191" s="147"/>
      <c r="AA191" s="147"/>
      <c r="AB191" s="148"/>
      <c r="AC191" s="819"/>
      <c r="AD191" s="820"/>
      <c r="AE191" s="820"/>
      <c r="AF191" s="821"/>
      <c r="AI191" s="109" t="str">
        <f>"25:ryouyoushoku_code:" &amp; IF(I191="■",1,IF(L191="■",2,0))</f>
        <v>25:ryouyoushoku_code:0</v>
      </c>
    </row>
    <row r="192" spans="1:36" ht="18.75" customHeight="1" x14ac:dyDescent="0.2">
      <c r="A192" s="139"/>
      <c r="B192" s="123"/>
      <c r="C192" s="140"/>
      <c r="D192" s="141"/>
      <c r="E192" s="128"/>
      <c r="F192" s="142"/>
      <c r="G192" s="128"/>
      <c r="H192" s="242" t="s">
        <v>184</v>
      </c>
      <c r="I192" s="175" t="s">
        <v>383</v>
      </c>
      <c r="J192" s="157" t="s">
        <v>250</v>
      </c>
      <c r="K192" s="157"/>
      <c r="L192" s="160" t="s">
        <v>383</v>
      </c>
      <c r="M192" s="157" t="s">
        <v>251</v>
      </c>
      <c r="N192" s="157"/>
      <c r="O192" s="160" t="s">
        <v>383</v>
      </c>
      <c r="P192" s="157" t="s">
        <v>252</v>
      </c>
      <c r="Q192" s="162"/>
      <c r="R192" s="162"/>
      <c r="S192" s="162"/>
      <c r="T192" s="162"/>
      <c r="U192" s="162"/>
      <c r="V192" s="162"/>
      <c r="W192" s="162"/>
      <c r="X192" s="163"/>
      <c r="Y192" s="154"/>
      <c r="Z192" s="147"/>
      <c r="AA192" s="147"/>
      <c r="AB192" s="148"/>
      <c r="AC192" s="819"/>
      <c r="AD192" s="820"/>
      <c r="AE192" s="820"/>
      <c r="AF192" s="821"/>
      <c r="AI192" s="109" t="str">
        <f>"25:ninti_senmoncare_code:" &amp; IF(I192="■",1,IF(O192="■",3,IF(L192="■",2,0)))</f>
        <v>25:ninti_senmoncare_code:0</v>
      </c>
    </row>
    <row r="193" spans="1:36" ht="18.75" customHeight="1" x14ac:dyDescent="0.2">
      <c r="A193" s="139"/>
      <c r="B193" s="123"/>
      <c r="C193" s="140"/>
      <c r="D193" s="141"/>
      <c r="E193" s="128"/>
      <c r="F193" s="142"/>
      <c r="G193" s="128"/>
      <c r="H193" s="250" t="s">
        <v>442</v>
      </c>
      <c r="I193" s="175" t="s">
        <v>383</v>
      </c>
      <c r="J193" s="157" t="s">
        <v>250</v>
      </c>
      <c r="K193" s="157"/>
      <c r="L193" s="160" t="s">
        <v>383</v>
      </c>
      <c r="M193" s="157" t="s">
        <v>251</v>
      </c>
      <c r="N193" s="157"/>
      <c r="O193" s="160" t="s">
        <v>383</v>
      </c>
      <c r="P193" s="157" t="s">
        <v>252</v>
      </c>
      <c r="Q193" s="162"/>
      <c r="R193" s="162"/>
      <c r="S193" s="162"/>
      <c r="T193" s="162"/>
      <c r="U193" s="251"/>
      <c r="V193" s="251"/>
      <c r="W193" s="251"/>
      <c r="X193" s="252"/>
      <c r="Y193" s="154"/>
      <c r="Z193" s="147"/>
      <c r="AA193" s="147"/>
      <c r="AB193" s="148"/>
      <c r="AC193" s="819"/>
      <c r="AD193" s="820"/>
      <c r="AE193" s="820"/>
      <c r="AF193" s="821"/>
      <c r="AI193" s="109" t="str">
        <f>"25:field225:" &amp; IF(I193="■",1,IF(L193="■",2,IF(O193="■",3,0)))</f>
        <v>25:field225:0</v>
      </c>
    </row>
    <row r="194" spans="1:36" ht="18.75" customHeight="1" x14ac:dyDescent="0.2">
      <c r="A194" s="139"/>
      <c r="B194" s="123"/>
      <c r="C194" s="140"/>
      <c r="D194" s="141"/>
      <c r="E194" s="128"/>
      <c r="F194" s="142"/>
      <c r="G194" s="128"/>
      <c r="H194" s="242" t="s">
        <v>118</v>
      </c>
      <c r="I194" s="175" t="s">
        <v>383</v>
      </c>
      <c r="J194" s="157" t="s">
        <v>250</v>
      </c>
      <c r="K194" s="157"/>
      <c r="L194" s="160" t="s">
        <v>383</v>
      </c>
      <c r="M194" s="157" t="s">
        <v>258</v>
      </c>
      <c r="N194" s="157"/>
      <c r="O194" s="160" t="s">
        <v>383</v>
      </c>
      <c r="P194" s="157" t="s">
        <v>259</v>
      </c>
      <c r="Q194" s="207"/>
      <c r="R194" s="160" t="s">
        <v>383</v>
      </c>
      <c r="S194" s="157" t="s">
        <v>283</v>
      </c>
      <c r="T194" s="157"/>
      <c r="U194" s="207"/>
      <c r="V194" s="207"/>
      <c r="W194" s="207"/>
      <c r="X194" s="208"/>
      <c r="Y194" s="154"/>
      <c r="Z194" s="147"/>
      <c r="AA194" s="147"/>
      <c r="AB194" s="148"/>
      <c r="AC194" s="819"/>
      <c r="AD194" s="820"/>
      <c r="AE194" s="820"/>
      <c r="AF194" s="821"/>
      <c r="AI194" s="109" t="str">
        <f>"25:serteikyo_kyoka_code:" &amp; IF(I194="■",1,IF(L194="■",6,IF(O194="■",5,IF(R194="■",7,0))))</f>
        <v>25:serteikyo_kyoka_code:0</v>
      </c>
    </row>
    <row r="195" spans="1:36" ht="18.75" customHeight="1" x14ac:dyDescent="0.2">
      <c r="A195" s="139"/>
      <c r="B195" s="123"/>
      <c r="C195" s="140"/>
      <c r="D195" s="141"/>
      <c r="E195" s="128"/>
      <c r="F195" s="142"/>
      <c r="G195" s="128"/>
      <c r="H195" s="713" t="s">
        <v>805</v>
      </c>
      <c r="I195" s="727" t="s">
        <v>383</v>
      </c>
      <c r="J195" s="726" t="s">
        <v>250</v>
      </c>
      <c r="K195" s="726"/>
      <c r="L195" s="727" t="s">
        <v>383</v>
      </c>
      <c r="M195" s="726" t="s">
        <v>267</v>
      </c>
      <c r="N195" s="726"/>
      <c r="O195" s="168"/>
      <c r="P195" s="168"/>
      <c r="Q195" s="168"/>
      <c r="R195" s="168"/>
      <c r="S195" s="168"/>
      <c r="T195" s="168"/>
      <c r="U195" s="168"/>
      <c r="V195" s="168"/>
      <c r="W195" s="168"/>
      <c r="X195" s="173"/>
      <c r="Y195" s="154"/>
      <c r="Z195" s="147"/>
      <c r="AA195" s="147"/>
      <c r="AB195" s="148"/>
      <c r="AC195" s="819"/>
      <c r="AD195" s="820"/>
      <c r="AE195" s="820"/>
      <c r="AF195" s="821"/>
      <c r="AI195" s="109" t="str">
        <f>"25:field221:" &amp; IF(I195="■",1,IF(L195="■",2,0))</f>
        <v>25:field221:0</v>
      </c>
    </row>
    <row r="196" spans="1:36" ht="18.75" customHeight="1" x14ac:dyDescent="0.2">
      <c r="A196" s="139"/>
      <c r="B196" s="123"/>
      <c r="C196" s="140"/>
      <c r="D196" s="141"/>
      <c r="E196" s="128"/>
      <c r="F196" s="142"/>
      <c r="G196" s="128"/>
      <c r="H196" s="737"/>
      <c r="I196" s="727"/>
      <c r="J196" s="726"/>
      <c r="K196" s="726"/>
      <c r="L196" s="727"/>
      <c r="M196" s="726"/>
      <c r="N196" s="726"/>
      <c r="O196" s="169"/>
      <c r="P196" s="169"/>
      <c r="Q196" s="169"/>
      <c r="R196" s="169"/>
      <c r="S196" s="169"/>
      <c r="T196" s="169"/>
      <c r="U196" s="169"/>
      <c r="V196" s="169"/>
      <c r="W196" s="169"/>
      <c r="X196" s="170"/>
      <c r="Y196" s="154"/>
      <c r="Z196" s="147"/>
      <c r="AA196" s="147"/>
      <c r="AB196" s="148"/>
      <c r="AC196" s="819"/>
      <c r="AD196" s="820"/>
      <c r="AE196" s="820"/>
      <c r="AF196" s="821"/>
    </row>
    <row r="197" spans="1:36" s="621" customFormat="1" ht="19.8" customHeight="1" x14ac:dyDescent="0.2">
      <c r="A197" s="139"/>
      <c r="B197" s="670"/>
      <c r="C197" s="140"/>
      <c r="D197" s="141"/>
      <c r="E197" s="128"/>
      <c r="F197" s="142"/>
      <c r="G197" s="143"/>
      <c r="H197" s="713" t="s">
        <v>790</v>
      </c>
      <c r="I197" s="642" t="s">
        <v>383</v>
      </c>
      <c r="J197" s="616" t="s">
        <v>627</v>
      </c>
      <c r="K197" s="616"/>
      <c r="L197" s="615"/>
      <c r="M197" s="644" t="s">
        <v>383</v>
      </c>
      <c r="N197" s="616" t="s">
        <v>791</v>
      </c>
      <c r="O197" s="617"/>
      <c r="P197" s="615"/>
      <c r="Q197" s="644" t="s">
        <v>383</v>
      </c>
      <c r="R197" s="618" t="s">
        <v>792</v>
      </c>
      <c r="S197" s="615"/>
      <c r="T197" s="615"/>
      <c r="U197" s="615"/>
      <c r="V197" s="618"/>
      <c r="W197" s="619"/>
      <c r="X197" s="620"/>
      <c r="Y197" s="154"/>
      <c r="Z197" s="147"/>
      <c r="AA197" s="147"/>
      <c r="AB197" s="148"/>
      <c r="AC197" s="819"/>
      <c r="AD197" s="820"/>
      <c r="AE197" s="820"/>
      <c r="AF197" s="821"/>
    </row>
    <row r="198" spans="1:36" s="621" customFormat="1" ht="21" customHeight="1" x14ac:dyDescent="0.2">
      <c r="A198" s="139"/>
      <c r="B198" s="670"/>
      <c r="C198" s="140"/>
      <c r="D198" s="141"/>
      <c r="E198" s="128"/>
      <c r="F198" s="142"/>
      <c r="G198" s="143"/>
      <c r="H198" s="714"/>
      <c r="I198" s="645" t="s">
        <v>383</v>
      </c>
      <c r="J198" s="623" t="s">
        <v>793</v>
      </c>
      <c r="K198" s="623"/>
      <c r="L198" s="622"/>
      <c r="M198" s="645" t="s">
        <v>383</v>
      </c>
      <c r="N198" s="623" t="s">
        <v>794</v>
      </c>
      <c r="O198" s="624"/>
      <c r="P198" s="622"/>
      <c r="Q198" s="645" t="s">
        <v>383</v>
      </c>
      <c r="R198" s="623" t="s">
        <v>795</v>
      </c>
      <c r="S198" s="622"/>
      <c r="T198" s="623"/>
      <c r="U198" s="645" t="s">
        <v>383</v>
      </c>
      <c r="V198" s="623" t="s">
        <v>796</v>
      </c>
      <c r="W198" s="625"/>
      <c r="X198" s="626"/>
      <c r="Y198" s="154"/>
      <c r="Z198" s="147"/>
      <c r="AA198" s="147"/>
      <c r="AB198" s="148"/>
      <c r="AC198" s="819"/>
      <c r="AD198" s="820"/>
      <c r="AE198" s="820"/>
      <c r="AF198" s="821"/>
    </row>
    <row r="199" spans="1:36" ht="18.75" customHeight="1" x14ac:dyDescent="0.2">
      <c r="A199" s="129"/>
      <c r="B199" s="116"/>
      <c r="C199" s="130"/>
      <c r="D199" s="131"/>
      <c r="E199" s="121"/>
      <c r="F199" s="132"/>
      <c r="G199" s="121"/>
      <c r="H199" s="366" t="s">
        <v>97</v>
      </c>
      <c r="I199" s="374" t="s">
        <v>383</v>
      </c>
      <c r="J199" s="368" t="s">
        <v>300</v>
      </c>
      <c r="K199" s="369"/>
      <c r="L199" s="370"/>
      <c r="M199" s="371" t="s">
        <v>383</v>
      </c>
      <c r="N199" s="368" t="s">
        <v>301</v>
      </c>
      <c r="O199" s="457"/>
      <c r="P199" s="369"/>
      <c r="Q199" s="369"/>
      <c r="R199" s="369"/>
      <c r="S199" s="369"/>
      <c r="T199" s="369"/>
      <c r="U199" s="369"/>
      <c r="V199" s="369"/>
      <c r="W199" s="369"/>
      <c r="X199" s="421"/>
      <c r="Y199" s="134" t="s">
        <v>383</v>
      </c>
      <c r="Z199" s="119" t="s">
        <v>249</v>
      </c>
      <c r="AA199" s="119"/>
      <c r="AB199" s="137"/>
      <c r="AC199" s="816"/>
      <c r="AD199" s="817"/>
      <c r="AE199" s="817"/>
      <c r="AF199" s="818"/>
      <c r="AG199" s="109" t="str">
        <f>"ser_code = '" &amp; IF(A208="■",25,"") &amp; "'"</f>
        <v>ser_code = ''</v>
      </c>
      <c r="AH199" s="109"/>
      <c r="AI199" s="109" t="str">
        <f>"25:yakan_kinmu_code:" &amp; IF(I199="■",1,IF(M199="■",6,0))</f>
        <v>25:yakan_kinmu_code:0</v>
      </c>
      <c r="AJ199" s="109" t="str">
        <f>"25:field203:" &amp; IF(Y199="■",1,IF(Y200="■",2,0))</f>
        <v>25:field203:0</v>
      </c>
    </row>
    <row r="200" spans="1:36" ht="18.75" customHeight="1" x14ac:dyDescent="0.2">
      <c r="A200" s="139"/>
      <c r="B200" s="123"/>
      <c r="C200" s="140"/>
      <c r="D200" s="141"/>
      <c r="E200" s="128"/>
      <c r="F200" s="142"/>
      <c r="G200" s="128"/>
      <c r="H200" s="738" t="s">
        <v>93</v>
      </c>
      <c r="I200" s="374" t="s">
        <v>383</v>
      </c>
      <c r="J200" s="409" t="s">
        <v>250</v>
      </c>
      <c r="K200" s="409"/>
      <c r="L200" s="504"/>
      <c r="M200" s="443" t="s">
        <v>383</v>
      </c>
      <c r="N200" s="409" t="s">
        <v>289</v>
      </c>
      <c r="O200" s="409"/>
      <c r="P200" s="504"/>
      <c r="Q200" s="443" t="s">
        <v>383</v>
      </c>
      <c r="R200" s="506" t="s">
        <v>290</v>
      </c>
      <c r="S200" s="506"/>
      <c r="T200" s="506"/>
      <c r="U200" s="443" t="s">
        <v>383</v>
      </c>
      <c r="V200" s="506" t="s">
        <v>291</v>
      </c>
      <c r="W200" s="506"/>
      <c r="X200" s="510"/>
      <c r="Y200" s="118" t="s">
        <v>383</v>
      </c>
      <c r="Z200" s="126" t="s">
        <v>255</v>
      </c>
      <c r="AA200" s="147"/>
      <c r="AB200" s="148"/>
      <c r="AC200" s="819"/>
      <c r="AD200" s="820"/>
      <c r="AE200" s="820"/>
      <c r="AF200" s="821"/>
      <c r="AG200" s="109" t="str">
        <f>"25:sisetukbn_code:" &amp; IF(D208="■","A",0)</f>
        <v>25:sisetukbn_code:0</v>
      </c>
      <c r="AH200" s="109"/>
      <c r="AI200" s="109" t="str">
        <f>"25:"&amp;IF(AND(I200="□",M200="□",Q200="□",U200="□",I201="□",M201="□",Q201="□"),"ketu_doctor_code:0",IF(I200="■","ketu_doctor_code:1:ketu_kangos_code:1:ketu_kshoku_code:1:ketu_rryoho_code:1:ketu_sryoho_code:1:ketu_gengo_code:1",
IF(M200="■","ketu_doctor_code:2","ketu_doctor_code:1")
&amp;IF(Q200="■",":ketu_kangos_code:2",":ketu_kangos_code:1")
&amp;IF(U200="■",":ketu_kshoku_code:2",":ketu_kshoku_code:1")
&amp;IF(I201="■",":ketu_rryoho_code:2",":ketu_rryoho_code:1")
&amp;IF(M201="■",":ketu_sryoho_code:2",":ketu_sryoho_code:1")
&amp;IF(Q201="■",":ketu_gengo_code:2",":ketu_gengo_code:1")))</f>
        <v>25:ketu_doctor_code:0</v>
      </c>
      <c r="AJ200" s="109"/>
    </row>
    <row r="201" spans="1:36" ht="18.75" customHeight="1" x14ac:dyDescent="0.2">
      <c r="A201" s="139"/>
      <c r="B201" s="123"/>
      <c r="C201" s="140"/>
      <c r="D201" s="141"/>
      <c r="E201" s="128"/>
      <c r="F201" s="142"/>
      <c r="G201" s="128"/>
      <c r="H201" s="739"/>
      <c r="I201" s="460" t="s">
        <v>383</v>
      </c>
      <c r="J201" s="381" t="s">
        <v>292</v>
      </c>
      <c r="K201" s="384"/>
      <c r="L201" s="384"/>
      <c r="M201" s="383" t="s">
        <v>383</v>
      </c>
      <c r="N201" s="381" t="s">
        <v>293</v>
      </c>
      <c r="O201" s="384"/>
      <c r="P201" s="384"/>
      <c r="Q201" s="383" t="s">
        <v>383</v>
      </c>
      <c r="R201" s="381" t="s">
        <v>294</v>
      </c>
      <c r="S201" s="384"/>
      <c r="T201" s="384"/>
      <c r="U201" s="384"/>
      <c r="V201" s="384"/>
      <c r="W201" s="384"/>
      <c r="X201" s="385"/>
      <c r="Y201" s="154"/>
      <c r="Z201" s="147"/>
      <c r="AA201" s="147"/>
      <c r="AB201" s="148"/>
      <c r="AC201" s="819"/>
      <c r="AD201" s="820"/>
      <c r="AE201" s="820"/>
      <c r="AF201" s="821"/>
    </row>
    <row r="202" spans="1:36" ht="18.75" customHeight="1" x14ac:dyDescent="0.2">
      <c r="A202" s="139"/>
      <c r="B202" s="123"/>
      <c r="C202" s="140"/>
      <c r="D202" s="141"/>
      <c r="E202" s="128"/>
      <c r="F202" s="142"/>
      <c r="G202" s="128"/>
      <c r="H202" s="364" t="s">
        <v>98</v>
      </c>
      <c r="I202" s="374" t="s">
        <v>383</v>
      </c>
      <c r="J202" s="350" t="s">
        <v>265</v>
      </c>
      <c r="K202" s="351"/>
      <c r="L202" s="352"/>
      <c r="M202" s="353" t="s">
        <v>383</v>
      </c>
      <c r="N202" s="350" t="s">
        <v>266</v>
      </c>
      <c r="O202" s="355"/>
      <c r="P202" s="351"/>
      <c r="Q202" s="355"/>
      <c r="R202" s="355"/>
      <c r="S202" s="355"/>
      <c r="T202" s="355"/>
      <c r="U202" s="355"/>
      <c r="V202" s="355"/>
      <c r="W202" s="355"/>
      <c r="X202" s="356"/>
      <c r="Y202" s="154"/>
      <c r="Z202" s="147"/>
      <c r="AA202" s="147"/>
      <c r="AB202" s="148"/>
      <c r="AC202" s="819"/>
      <c r="AD202" s="820"/>
      <c r="AE202" s="820"/>
      <c r="AF202" s="821"/>
      <c r="AI202" s="109" t="str">
        <f>"25:unitcare_code:" &amp; IF(I202="■",1,IF(M202="■",2,0))</f>
        <v>25:unitcare_code:0</v>
      </c>
    </row>
    <row r="203" spans="1:36" s="109" customFormat="1" ht="18.75" customHeight="1" x14ac:dyDescent="0.2">
      <c r="A203" s="139"/>
      <c r="B203" s="123"/>
      <c r="C203" s="248"/>
      <c r="D203" s="249"/>
      <c r="E203" s="128"/>
      <c r="F203" s="142"/>
      <c r="G203" s="143"/>
      <c r="H203" s="364" t="s">
        <v>107</v>
      </c>
      <c r="I203" s="349" t="s">
        <v>383</v>
      </c>
      <c r="J203" s="350" t="s">
        <v>395</v>
      </c>
      <c r="K203" s="351"/>
      <c r="L203" s="352"/>
      <c r="M203" s="353" t="s">
        <v>383</v>
      </c>
      <c r="N203" s="350" t="s">
        <v>396</v>
      </c>
      <c r="O203" s="351"/>
      <c r="P203" s="351"/>
      <c r="Q203" s="351"/>
      <c r="R203" s="351"/>
      <c r="S203" s="351"/>
      <c r="T203" s="351"/>
      <c r="U203" s="351"/>
      <c r="V203" s="351"/>
      <c r="W203" s="351"/>
      <c r="X203" s="365"/>
      <c r="Y203" s="154"/>
      <c r="Z203" s="147"/>
      <c r="AA203" s="147"/>
      <c r="AB203" s="148"/>
      <c r="AC203" s="819"/>
      <c r="AD203" s="820"/>
      <c r="AE203" s="820"/>
      <c r="AF203" s="821"/>
      <c r="AI203" s="109" t="str">
        <f>"25:sintaikousoku_code:" &amp; IF(I203="■",1,IF(M203="■",2,0))</f>
        <v>25:sintaikousoku_code:0</v>
      </c>
    </row>
    <row r="204" spans="1:36" ht="19.5" customHeight="1" x14ac:dyDescent="0.2">
      <c r="A204" s="139"/>
      <c r="B204" s="123"/>
      <c r="C204" s="140"/>
      <c r="D204" s="141"/>
      <c r="E204" s="128"/>
      <c r="F204" s="142"/>
      <c r="G204" s="143"/>
      <c r="H204" s="155" t="s">
        <v>430</v>
      </c>
      <c r="I204" s="175" t="s">
        <v>383</v>
      </c>
      <c r="J204" s="157" t="s">
        <v>395</v>
      </c>
      <c r="K204" s="158"/>
      <c r="L204" s="159"/>
      <c r="M204" s="160" t="s">
        <v>383</v>
      </c>
      <c r="N204" s="157" t="s">
        <v>431</v>
      </c>
      <c r="O204" s="157"/>
      <c r="P204" s="157"/>
      <c r="Q204" s="162"/>
      <c r="R204" s="162"/>
      <c r="S204" s="162"/>
      <c r="T204" s="162"/>
      <c r="U204" s="162"/>
      <c r="V204" s="162"/>
      <c r="W204" s="162"/>
      <c r="X204" s="163"/>
      <c r="Y204" s="147"/>
      <c r="Z204" s="147"/>
      <c r="AA204" s="147"/>
      <c r="AB204" s="148"/>
      <c r="AC204" s="819"/>
      <c r="AD204" s="820"/>
      <c r="AE204" s="820"/>
      <c r="AF204" s="821"/>
      <c r="AI204" s="109" t="str">
        <f>"25:field223:" &amp; IF(I204="■",1,IF(M204="■",2,0))</f>
        <v>25:field223:0</v>
      </c>
    </row>
    <row r="205" spans="1:36" ht="19.5" customHeight="1" x14ac:dyDescent="0.2">
      <c r="A205" s="139"/>
      <c r="B205" s="123"/>
      <c r="C205" s="140"/>
      <c r="D205" s="141"/>
      <c r="E205" s="128"/>
      <c r="F205" s="142"/>
      <c r="G205" s="143"/>
      <c r="H205" s="155" t="s">
        <v>448</v>
      </c>
      <c r="I205" s="175" t="s">
        <v>383</v>
      </c>
      <c r="J205" s="169" t="s">
        <v>395</v>
      </c>
      <c r="K205" s="179"/>
      <c r="L205" s="254"/>
      <c r="M205" s="203" t="s">
        <v>383</v>
      </c>
      <c r="N205" s="169" t="s">
        <v>431</v>
      </c>
      <c r="O205" s="169"/>
      <c r="P205" s="169"/>
      <c r="Q205" s="152"/>
      <c r="R205" s="152"/>
      <c r="S205" s="152"/>
      <c r="T205" s="152"/>
      <c r="U205" s="152"/>
      <c r="V205" s="152"/>
      <c r="W205" s="152"/>
      <c r="X205" s="153"/>
      <c r="Y205" s="147"/>
      <c r="Z205" s="126"/>
      <c r="AA205" s="147"/>
      <c r="AB205" s="148"/>
      <c r="AC205" s="819"/>
      <c r="AD205" s="820"/>
      <c r="AE205" s="820"/>
      <c r="AF205" s="821"/>
      <c r="AI205" s="109" t="str">
        <f>"25:field232:" &amp; IF(I205="■",1,IF(M205="■",2,0))</f>
        <v>25:field232:0</v>
      </c>
    </row>
    <row r="206" spans="1:36" ht="18.75" customHeight="1" x14ac:dyDescent="0.2">
      <c r="A206" s="139"/>
      <c r="B206" s="123"/>
      <c r="C206" s="140"/>
      <c r="D206" s="141"/>
      <c r="E206" s="128"/>
      <c r="F206" s="142"/>
      <c r="G206" s="128"/>
      <c r="H206" s="242" t="s">
        <v>111</v>
      </c>
      <c r="I206" s="175" t="s">
        <v>383</v>
      </c>
      <c r="J206" s="157" t="s">
        <v>250</v>
      </c>
      <c r="K206" s="158"/>
      <c r="L206" s="160" t="s">
        <v>383</v>
      </c>
      <c r="M206" s="157" t="s">
        <v>267</v>
      </c>
      <c r="N206" s="207"/>
      <c r="O206" s="162"/>
      <c r="P206" s="162"/>
      <c r="Q206" s="162"/>
      <c r="R206" s="162"/>
      <c r="S206" s="162"/>
      <c r="T206" s="162"/>
      <c r="U206" s="162"/>
      <c r="V206" s="162"/>
      <c r="W206" s="162"/>
      <c r="X206" s="163"/>
      <c r="Y206" s="154"/>
      <c r="Z206" s="147"/>
      <c r="AA206" s="147"/>
      <c r="AB206" s="148"/>
      <c r="AC206" s="819"/>
      <c r="AD206" s="820"/>
      <c r="AE206" s="820"/>
      <c r="AF206" s="821"/>
      <c r="AI206" s="109" t="str">
        <f>"25:yakinhaiti_code:" &amp; IF(I206="■",1,IF(L206="■",2,0))</f>
        <v>25:yakinhaiti_code:0</v>
      </c>
    </row>
    <row r="207" spans="1:36" ht="18.75" customHeight="1" x14ac:dyDescent="0.2">
      <c r="A207" s="139"/>
      <c r="B207" s="123"/>
      <c r="C207" s="140"/>
      <c r="D207" s="141"/>
      <c r="E207" s="128"/>
      <c r="F207" s="142"/>
      <c r="G207" s="128"/>
      <c r="H207" s="242" t="s">
        <v>486</v>
      </c>
      <c r="I207" s="175" t="s">
        <v>383</v>
      </c>
      <c r="J207" s="157" t="s">
        <v>250</v>
      </c>
      <c r="K207" s="158"/>
      <c r="L207" s="160" t="s">
        <v>383</v>
      </c>
      <c r="M207" s="157" t="s">
        <v>267</v>
      </c>
      <c r="N207" s="207"/>
      <c r="O207" s="162"/>
      <c r="P207" s="162"/>
      <c r="Q207" s="162"/>
      <c r="R207" s="162"/>
      <c r="S207" s="162"/>
      <c r="T207" s="162"/>
      <c r="U207" s="162"/>
      <c r="V207" s="162"/>
      <c r="W207" s="162"/>
      <c r="X207" s="163"/>
      <c r="Y207" s="154"/>
      <c r="Z207" s="147"/>
      <c r="AA207" s="147"/>
      <c r="AB207" s="148"/>
      <c r="AC207" s="819"/>
      <c r="AD207" s="820"/>
      <c r="AE207" s="820"/>
      <c r="AF207" s="821"/>
      <c r="AI207" s="109" t="str">
        <f>"25:jyakuninti_uke_code:" &amp; IF(I207="■",1,IF(L207="■",2,0))</f>
        <v>25:jyakuninti_uke_code:0</v>
      </c>
    </row>
    <row r="208" spans="1:36" ht="18.75" customHeight="1" x14ac:dyDescent="0.2">
      <c r="A208" s="125" t="s">
        <v>383</v>
      </c>
      <c r="B208" s="123">
        <v>25</v>
      </c>
      <c r="C208" s="140" t="s">
        <v>491</v>
      </c>
      <c r="D208" s="125" t="s">
        <v>383</v>
      </c>
      <c r="E208" s="128" t="s">
        <v>327</v>
      </c>
      <c r="F208" s="142"/>
      <c r="G208" s="128"/>
      <c r="H208" s="242" t="s">
        <v>95</v>
      </c>
      <c r="I208" s="175" t="s">
        <v>383</v>
      </c>
      <c r="J208" s="157" t="s">
        <v>265</v>
      </c>
      <c r="K208" s="158"/>
      <c r="L208" s="159"/>
      <c r="M208" s="160" t="s">
        <v>383</v>
      </c>
      <c r="N208" s="157" t="s">
        <v>266</v>
      </c>
      <c r="O208" s="162"/>
      <c r="P208" s="162"/>
      <c r="Q208" s="162"/>
      <c r="R208" s="162"/>
      <c r="S208" s="162"/>
      <c r="T208" s="162"/>
      <c r="U208" s="162"/>
      <c r="V208" s="162"/>
      <c r="W208" s="162"/>
      <c r="X208" s="163"/>
      <c r="Y208" s="154"/>
      <c r="Z208" s="147"/>
      <c r="AA208" s="147"/>
      <c r="AB208" s="148"/>
      <c r="AC208" s="819"/>
      <c r="AD208" s="820"/>
      <c r="AE208" s="820"/>
      <c r="AF208" s="821"/>
      <c r="AI208" s="109" t="str">
        <f>"25:sougei_code:" &amp; IF(I208="■",1,IF(M208="■",2,0))</f>
        <v>25:sougei_code:0</v>
      </c>
    </row>
    <row r="209" spans="1:36" ht="19.5" customHeight="1" x14ac:dyDescent="0.2">
      <c r="A209" s="139"/>
      <c r="B209" s="123"/>
      <c r="C209" s="140"/>
      <c r="D209" s="141"/>
      <c r="E209" s="128"/>
      <c r="F209" s="142"/>
      <c r="G209" s="143"/>
      <c r="H209" s="155" t="s">
        <v>433</v>
      </c>
      <c r="I209" s="175" t="s">
        <v>383</v>
      </c>
      <c r="J209" s="157" t="s">
        <v>250</v>
      </c>
      <c r="K209" s="157"/>
      <c r="L209" s="160" t="s">
        <v>383</v>
      </c>
      <c r="M209" s="157" t="s">
        <v>267</v>
      </c>
      <c r="N209" s="157"/>
      <c r="O209" s="162"/>
      <c r="P209" s="157"/>
      <c r="Q209" s="162"/>
      <c r="R209" s="162"/>
      <c r="S209" s="162"/>
      <c r="T209" s="162"/>
      <c r="U209" s="162"/>
      <c r="V209" s="162"/>
      <c r="W209" s="162"/>
      <c r="X209" s="163"/>
      <c r="Y209" s="147"/>
      <c r="Z209" s="147"/>
      <c r="AA209" s="147"/>
      <c r="AB209" s="148"/>
      <c r="AC209" s="819"/>
      <c r="AD209" s="820"/>
      <c r="AE209" s="820"/>
      <c r="AF209" s="821"/>
      <c r="AI209" s="109" t="str">
        <f>"25:field224:" &amp; IF(I209="■",1,IF(L209="■",2,0))</f>
        <v>25:field224:0</v>
      </c>
    </row>
    <row r="210" spans="1:36" ht="18.75" customHeight="1" x14ac:dyDescent="0.2">
      <c r="A210" s="139"/>
      <c r="B210" s="123"/>
      <c r="C210" s="140"/>
      <c r="D210" s="141"/>
      <c r="E210" s="128"/>
      <c r="F210" s="142"/>
      <c r="G210" s="128"/>
      <c r="H210" s="242" t="s">
        <v>112</v>
      </c>
      <c r="I210" s="175" t="s">
        <v>383</v>
      </c>
      <c r="J210" s="157" t="s">
        <v>250</v>
      </c>
      <c r="K210" s="158"/>
      <c r="L210" s="160" t="s">
        <v>383</v>
      </c>
      <c r="M210" s="157" t="s">
        <v>267</v>
      </c>
      <c r="N210" s="207"/>
      <c r="O210" s="162"/>
      <c r="P210" s="162"/>
      <c r="Q210" s="162"/>
      <c r="R210" s="162"/>
      <c r="S210" s="162"/>
      <c r="T210" s="162"/>
      <c r="U210" s="162"/>
      <c r="V210" s="162"/>
      <c r="W210" s="162"/>
      <c r="X210" s="163"/>
      <c r="Y210" s="154"/>
      <c r="Z210" s="147"/>
      <c r="AA210" s="147"/>
      <c r="AB210" s="148"/>
      <c r="AC210" s="819"/>
      <c r="AD210" s="820"/>
      <c r="AE210" s="820"/>
      <c r="AF210" s="821"/>
      <c r="AI210" s="109" t="str">
        <f>"25:ryouyoushoku_code:" &amp; IF(I210="■",1,IF(L210="■",2,0))</f>
        <v>25:ryouyoushoku_code:0</v>
      </c>
    </row>
    <row r="211" spans="1:36" ht="18.75" customHeight="1" x14ac:dyDescent="0.2">
      <c r="A211" s="139"/>
      <c r="B211" s="123"/>
      <c r="C211" s="140"/>
      <c r="D211" s="141"/>
      <c r="E211" s="128"/>
      <c r="F211" s="142"/>
      <c r="G211" s="128"/>
      <c r="H211" s="242" t="s">
        <v>184</v>
      </c>
      <c r="I211" s="175" t="s">
        <v>383</v>
      </c>
      <c r="J211" s="157" t="s">
        <v>250</v>
      </c>
      <c r="K211" s="157"/>
      <c r="L211" s="160" t="s">
        <v>383</v>
      </c>
      <c r="M211" s="157" t="s">
        <v>251</v>
      </c>
      <c r="N211" s="157"/>
      <c r="O211" s="160" t="s">
        <v>383</v>
      </c>
      <c r="P211" s="157" t="s">
        <v>252</v>
      </c>
      <c r="Q211" s="162"/>
      <c r="R211" s="162"/>
      <c r="S211" s="162"/>
      <c r="T211" s="162"/>
      <c r="U211" s="162"/>
      <c r="V211" s="162"/>
      <c r="W211" s="162"/>
      <c r="X211" s="163"/>
      <c r="Y211" s="154"/>
      <c r="Z211" s="147"/>
      <c r="AA211" s="147"/>
      <c r="AB211" s="148"/>
      <c r="AC211" s="819"/>
      <c r="AD211" s="820"/>
      <c r="AE211" s="820"/>
      <c r="AF211" s="821"/>
      <c r="AI211" s="109" t="str">
        <f>"25:ninti_senmoncare_code:" &amp; IF(I211="■",1,IF(O211="■",3,IF(L211="■",2,0)))</f>
        <v>25:ninti_senmoncare_code:0</v>
      </c>
    </row>
    <row r="212" spans="1:36" ht="18.75" customHeight="1" x14ac:dyDescent="0.2">
      <c r="A212" s="139"/>
      <c r="B212" s="123"/>
      <c r="C212" s="140"/>
      <c r="D212" s="141"/>
      <c r="E212" s="128"/>
      <c r="F212" s="142"/>
      <c r="G212" s="128"/>
      <c r="H212" s="250" t="s">
        <v>442</v>
      </c>
      <c r="I212" s="175" t="s">
        <v>383</v>
      </c>
      <c r="J212" s="157" t="s">
        <v>250</v>
      </c>
      <c r="K212" s="157"/>
      <c r="L212" s="160" t="s">
        <v>383</v>
      </c>
      <c r="M212" s="157" t="s">
        <v>251</v>
      </c>
      <c r="N212" s="157"/>
      <c r="O212" s="160" t="s">
        <v>383</v>
      </c>
      <c r="P212" s="157" t="s">
        <v>252</v>
      </c>
      <c r="Q212" s="162"/>
      <c r="R212" s="162"/>
      <c r="S212" s="162"/>
      <c r="T212" s="162"/>
      <c r="U212" s="251"/>
      <c r="V212" s="251"/>
      <c r="W212" s="251"/>
      <c r="X212" s="252"/>
      <c r="Y212" s="154"/>
      <c r="Z212" s="147"/>
      <c r="AA212" s="147"/>
      <c r="AB212" s="148"/>
      <c r="AC212" s="819"/>
      <c r="AD212" s="820"/>
      <c r="AE212" s="820"/>
      <c r="AF212" s="821"/>
      <c r="AI212" s="109" t="str">
        <f>"25:field225:" &amp; IF(I212="■",1,IF(L212="■",2,IF(O212="■",3,0)))</f>
        <v>25:field225:0</v>
      </c>
    </row>
    <row r="213" spans="1:36" ht="18.75" customHeight="1" x14ac:dyDescent="0.2">
      <c r="A213" s="139"/>
      <c r="B213" s="123"/>
      <c r="C213" s="140"/>
      <c r="D213" s="141"/>
      <c r="E213" s="128"/>
      <c r="F213" s="142"/>
      <c r="G213" s="128"/>
      <c r="H213" s="242" t="s">
        <v>118</v>
      </c>
      <c r="I213" s="175" t="s">
        <v>383</v>
      </c>
      <c r="J213" s="157" t="s">
        <v>250</v>
      </c>
      <c r="K213" s="157"/>
      <c r="L213" s="160" t="s">
        <v>383</v>
      </c>
      <c r="M213" s="157" t="s">
        <v>258</v>
      </c>
      <c r="N213" s="157"/>
      <c r="O213" s="160" t="s">
        <v>383</v>
      </c>
      <c r="P213" s="157" t="s">
        <v>259</v>
      </c>
      <c r="Q213" s="207"/>
      <c r="R213" s="160" t="s">
        <v>383</v>
      </c>
      <c r="S213" s="157" t="s">
        <v>283</v>
      </c>
      <c r="T213" s="157"/>
      <c r="U213" s="207"/>
      <c r="V213" s="207"/>
      <c r="W213" s="207"/>
      <c r="X213" s="208"/>
      <c r="Y213" s="154"/>
      <c r="Z213" s="147"/>
      <c r="AA213" s="147"/>
      <c r="AB213" s="148"/>
      <c r="AC213" s="819"/>
      <c r="AD213" s="820"/>
      <c r="AE213" s="820"/>
      <c r="AF213" s="821"/>
      <c r="AI213" s="109" t="str">
        <f>"25:serteikyo_kyoka_code:" &amp; IF(I213="■",1,IF(L213="■",6,IF(O213="■",5,IF(R213="■",7,0))))</f>
        <v>25:serteikyo_kyoka_code:0</v>
      </c>
    </row>
    <row r="214" spans="1:36" ht="18.75" customHeight="1" x14ac:dyDescent="0.2">
      <c r="A214" s="139"/>
      <c r="B214" s="123"/>
      <c r="C214" s="140"/>
      <c r="D214" s="141"/>
      <c r="E214" s="128"/>
      <c r="F214" s="142"/>
      <c r="G214" s="128"/>
      <c r="H214" s="713" t="s">
        <v>805</v>
      </c>
      <c r="I214" s="727" t="s">
        <v>383</v>
      </c>
      <c r="J214" s="726" t="s">
        <v>250</v>
      </c>
      <c r="K214" s="726"/>
      <c r="L214" s="727" t="s">
        <v>383</v>
      </c>
      <c r="M214" s="726" t="s">
        <v>267</v>
      </c>
      <c r="N214" s="726"/>
      <c r="O214" s="168"/>
      <c r="P214" s="168"/>
      <c r="Q214" s="168"/>
      <c r="R214" s="168"/>
      <c r="S214" s="168"/>
      <c r="T214" s="168"/>
      <c r="U214" s="168"/>
      <c r="V214" s="168"/>
      <c r="W214" s="168"/>
      <c r="X214" s="173"/>
      <c r="Y214" s="154"/>
      <c r="Z214" s="147"/>
      <c r="AA214" s="147"/>
      <c r="AB214" s="148"/>
      <c r="AC214" s="819"/>
      <c r="AD214" s="820"/>
      <c r="AE214" s="820"/>
      <c r="AF214" s="821"/>
      <c r="AI214" s="109" t="str">
        <f>"25:field221:" &amp; IF(I214="■",1,IF(L214="■",2,0))</f>
        <v>25:field221:0</v>
      </c>
    </row>
    <row r="215" spans="1:36" ht="18.75" customHeight="1" x14ac:dyDescent="0.2">
      <c r="A215" s="139"/>
      <c r="B215" s="123"/>
      <c r="C215" s="140"/>
      <c r="D215" s="141"/>
      <c r="E215" s="128"/>
      <c r="F215" s="142"/>
      <c r="G215" s="128"/>
      <c r="H215" s="737"/>
      <c r="I215" s="727"/>
      <c r="J215" s="726"/>
      <c r="K215" s="726"/>
      <c r="L215" s="727"/>
      <c r="M215" s="726"/>
      <c r="N215" s="726"/>
      <c r="O215" s="169"/>
      <c r="P215" s="169"/>
      <c r="Q215" s="169"/>
      <c r="R215" s="169"/>
      <c r="S215" s="169"/>
      <c r="T215" s="169"/>
      <c r="U215" s="169"/>
      <c r="V215" s="169"/>
      <c r="W215" s="169"/>
      <c r="X215" s="170"/>
      <c r="Y215" s="154"/>
      <c r="Z215" s="147"/>
      <c r="AA215" s="147"/>
      <c r="AB215" s="148"/>
      <c r="AC215" s="819"/>
      <c r="AD215" s="820"/>
      <c r="AE215" s="820"/>
      <c r="AF215" s="821"/>
    </row>
    <row r="216" spans="1:36" s="621" customFormat="1" ht="19.8" customHeight="1" x14ac:dyDescent="0.2">
      <c r="A216" s="139"/>
      <c r="B216" s="670"/>
      <c r="C216" s="140"/>
      <c r="D216" s="141"/>
      <c r="E216" s="128"/>
      <c r="F216" s="142"/>
      <c r="G216" s="143"/>
      <c r="H216" s="713" t="s">
        <v>790</v>
      </c>
      <c r="I216" s="642" t="s">
        <v>383</v>
      </c>
      <c r="J216" s="616" t="s">
        <v>627</v>
      </c>
      <c r="K216" s="616"/>
      <c r="L216" s="615"/>
      <c r="M216" s="644" t="s">
        <v>383</v>
      </c>
      <c r="N216" s="616" t="s">
        <v>791</v>
      </c>
      <c r="O216" s="617"/>
      <c r="P216" s="615"/>
      <c r="Q216" s="644" t="s">
        <v>383</v>
      </c>
      <c r="R216" s="618" t="s">
        <v>792</v>
      </c>
      <c r="S216" s="615"/>
      <c r="T216" s="615"/>
      <c r="U216" s="615"/>
      <c r="V216" s="618"/>
      <c r="W216" s="619"/>
      <c r="X216" s="620"/>
      <c r="Y216" s="154"/>
      <c r="Z216" s="147"/>
      <c r="AA216" s="147"/>
      <c r="AB216" s="148"/>
      <c r="AC216" s="819"/>
      <c r="AD216" s="820"/>
      <c r="AE216" s="820"/>
      <c r="AF216" s="821"/>
    </row>
    <row r="217" spans="1:36" s="621" customFormat="1" ht="21" customHeight="1" x14ac:dyDescent="0.2">
      <c r="A217" s="139"/>
      <c r="B217" s="670"/>
      <c r="C217" s="140"/>
      <c r="D217" s="141"/>
      <c r="E217" s="128"/>
      <c r="F217" s="142"/>
      <c r="G217" s="143"/>
      <c r="H217" s="714"/>
      <c r="I217" s="645" t="s">
        <v>383</v>
      </c>
      <c r="J217" s="623" t="s">
        <v>793</v>
      </c>
      <c r="K217" s="623"/>
      <c r="L217" s="622"/>
      <c r="M217" s="645" t="s">
        <v>383</v>
      </c>
      <c r="N217" s="623" t="s">
        <v>794</v>
      </c>
      <c r="O217" s="624"/>
      <c r="P217" s="622"/>
      <c r="Q217" s="645" t="s">
        <v>383</v>
      </c>
      <c r="R217" s="623" t="s">
        <v>795</v>
      </c>
      <c r="S217" s="622"/>
      <c r="T217" s="623"/>
      <c r="U217" s="645" t="s">
        <v>383</v>
      </c>
      <c r="V217" s="623" t="s">
        <v>796</v>
      </c>
      <c r="W217" s="625"/>
      <c r="X217" s="626"/>
      <c r="Y217" s="154"/>
      <c r="Z217" s="147"/>
      <c r="AA217" s="147"/>
      <c r="AB217" s="148"/>
      <c r="AC217" s="819"/>
      <c r="AD217" s="820"/>
      <c r="AE217" s="820"/>
      <c r="AF217" s="821"/>
    </row>
    <row r="218" spans="1:36" ht="18.75" customHeight="1" x14ac:dyDescent="0.2">
      <c r="A218" s="129"/>
      <c r="B218" s="116"/>
      <c r="C218" s="130"/>
      <c r="D218" s="131"/>
      <c r="E218" s="133"/>
      <c r="F218" s="131"/>
      <c r="G218" s="121"/>
      <c r="H218" s="740" t="s">
        <v>182</v>
      </c>
      <c r="I218" s="412" t="s">
        <v>383</v>
      </c>
      <c r="J218" s="413" t="s">
        <v>300</v>
      </c>
      <c r="K218" s="414"/>
      <c r="L218" s="415"/>
      <c r="M218" s="416" t="s">
        <v>383</v>
      </c>
      <c r="N218" s="413" t="s">
        <v>328</v>
      </c>
      <c r="O218" s="417"/>
      <c r="P218" s="417"/>
      <c r="Q218" s="416" t="s">
        <v>383</v>
      </c>
      <c r="R218" s="413" t="s">
        <v>329</v>
      </c>
      <c r="S218" s="417"/>
      <c r="T218" s="417"/>
      <c r="U218" s="416" t="s">
        <v>383</v>
      </c>
      <c r="V218" s="413" t="s">
        <v>330</v>
      </c>
      <c r="W218" s="417"/>
      <c r="X218" s="418"/>
      <c r="Y218" s="134" t="s">
        <v>383</v>
      </c>
      <c r="Z218" s="119" t="s">
        <v>249</v>
      </c>
      <c r="AA218" s="119"/>
      <c r="AB218" s="137"/>
      <c r="AC218" s="816"/>
      <c r="AD218" s="817"/>
      <c r="AE218" s="817"/>
      <c r="AF218" s="818"/>
      <c r="AG218" s="109" t="str">
        <f>"ser_code = '" &amp; IF(A228="■",26,"") &amp; "'"</f>
        <v>ser_code = ''</v>
      </c>
      <c r="AH218" s="109" t="str">
        <f>"26:jininkbn_code:" &amp; IF(F224="■",2,IF(F226="■",5,IF(F228="■",6,IF(F230="■",3,IF(F232="■",7,IF(F234="■",4,0))))))</f>
        <v>26:jininkbn_code:0</v>
      </c>
      <c r="AI218" s="109" t="str">
        <f>"26:yakan_kinmu_code:" &amp; IF(I218="■",1,IF(M218="■",2,IF(Q218="■",3,IF(U218="■",7,IF(I219="■",5,IF(M219="■",6,0))))))</f>
        <v>26:yakan_kinmu_code:0</v>
      </c>
      <c r="AJ218" s="109" t="str">
        <f>"26:field203:" &amp; IF(Y218="■",1,IF(Y219="■",2,0))</f>
        <v>26:field203:0</v>
      </c>
    </row>
    <row r="219" spans="1:36" ht="18.75" customHeight="1" x14ac:dyDescent="0.2">
      <c r="A219" s="139"/>
      <c r="B219" s="123"/>
      <c r="C219" s="140"/>
      <c r="D219" s="141"/>
      <c r="E219" s="143"/>
      <c r="F219" s="141"/>
      <c r="G219" s="128"/>
      <c r="H219" s="739"/>
      <c r="I219" s="460" t="s">
        <v>383</v>
      </c>
      <c r="J219" s="381" t="s">
        <v>331</v>
      </c>
      <c r="K219" s="419"/>
      <c r="L219" s="382"/>
      <c r="M219" s="383" t="s">
        <v>383</v>
      </c>
      <c r="N219" s="381" t="s">
        <v>301</v>
      </c>
      <c r="O219" s="384"/>
      <c r="P219" s="384"/>
      <c r="Q219" s="384"/>
      <c r="R219" s="384"/>
      <c r="S219" s="384"/>
      <c r="T219" s="384"/>
      <c r="U219" s="384"/>
      <c r="V219" s="384"/>
      <c r="W219" s="384"/>
      <c r="X219" s="385"/>
      <c r="Y219" s="118" t="s">
        <v>383</v>
      </c>
      <c r="Z219" s="126" t="s">
        <v>255</v>
      </c>
      <c r="AA219" s="147"/>
      <c r="AB219" s="148"/>
      <c r="AC219" s="819"/>
      <c r="AD219" s="820"/>
      <c r="AE219" s="820"/>
      <c r="AF219" s="821"/>
      <c r="AG219" s="109" t="str">
        <f>"26:sisetukbn_code:" &amp; IF(D228="■",1,0)</f>
        <v>26:sisetukbn_code:0</v>
      </c>
      <c r="AH219" s="109"/>
      <c r="AI219" s="109"/>
      <c r="AJ219" s="109"/>
    </row>
    <row r="220" spans="1:36" ht="18.75" customHeight="1" x14ac:dyDescent="0.2">
      <c r="A220" s="139"/>
      <c r="B220" s="123"/>
      <c r="C220" s="140"/>
      <c r="D220" s="141"/>
      <c r="E220" s="143"/>
      <c r="F220" s="141"/>
      <c r="G220" s="128"/>
      <c r="H220" s="364" t="s">
        <v>93</v>
      </c>
      <c r="I220" s="374" t="s">
        <v>383</v>
      </c>
      <c r="J220" s="350" t="s">
        <v>250</v>
      </c>
      <c r="K220" s="350"/>
      <c r="L220" s="352"/>
      <c r="M220" s="353" t="s">
        <v>383</v>
      </c>
      <c r="N220" s="350" t="s">
        <v>289</v>
      </c>
      <c r="O220" s="350"/>
      <c r="P220" s="352"/>
      <c r="Q220" s="353" t="s">
        <v>383</v>
      </c>
      <c r="R220" s="420" t="s">
        <v>290</v>
      </c>
      <c r="S220" s="420"/>
      <c r="T220" s="420"/>
      <c r="U220" s="353" t="s">
        <v>383</v>
      </c>
      <c r="V220" s="420" t="s">
        <v>291</v>
      </c>
      <c r="W220" s="355"/>
      <c r="X220" s="356"/>
      <c r="Y220" s="154"/>
      <c r="Z220" s="147"/>
      <c r="AA220" s="147"/>
      <c r="AB220" s="148"/>
      <c r="AC220" s="819"/>
      <c r="AD220" s="820"/>
      <c r="AE220" s="820"/>
      <c r="AF220" s="821"/>
      <c r="AI220" s="109" t="str">
        <f>"26:"&amp;IF(AND(I220="□",M220="□",Q220="□",U220="□"),"ketu_doctor_code:0",IF(I220="■","ketu_doctor_code:1:ketu_kangos_code:1:ketu_kshoku_code:1",
IF(M220="■","ketu_doctor_code:2","ketu_doctor_code:1")
&amp;IF(Q220="■",":ketu_kangos_code:2",":ketu_kangos_code:1")
&amp;IF(U220="■",":ketu_kshoku_code:2",":ketu_kshoku_code:1")))</f>
        <v>26:ketu_doctor_code:0</v>
      </c>
    </row>
    <row r="221" spans="1:36" s="109" customFormat="1" ht="18.75" customHeight="1" x14ac:dyDescent="0.2">
      <c r="A221" s="139"/>
      <c r="B221" s="123"/>
      <c r="C221" s="248"/>
      <c r="D221" s="249"/>
      <c r="E221" s="128"/>
      <c r="F221" s="142"/>
      <c r="G221" s="143"/>
      <c r="H221" s="364" t="s">
        <v>107</v>
      </c>
      <c r="I221" s="349" t="s">
        <v>383</v>
      </c>
      <c r="J221" s="350" t="s">
        <v>395</v>
      </c>
      <c r="K221" s="351"/>
      <c r="L221" s="352"/>
      <c r="M221" s="353" t="s">
        <v>383</v>
      </c>
      <c r="N221" s="350" t="s">
        <v>396</v>
      </c>
      <c r="O221" s="351"/>
      <c r="P221" s="351"/>
      <c r="Q221" s="351"/>
      <c r="R221" s="351"/>
      <c r="S221" s="351"/>
      <c r="T221" s="351"/>
      <c r="U221" s="351"/>
      <c r="V221" s="351"/>
      <c r="W221" s="351"/>
      <c r="X221" s="365"/>
      <c r="Y221" s="154"/>
      <c r="Z221" s="147"/>
      <c r="AA221" s="147"/>
      <c r="AB221" s="148"/>
      <c r="AC221" s="819"/>
      <c r="AD221" s="820"/>
      <c r="AE221" s="820"/>
      <c r="AF221" s="821"/>
      <c r="AI221" s="109" t="str">
        <f>"26:sintaikousoku_code:" &amp; IF(I221="■",1,IF(M221="■",2,0))</f>
        <v>26:sintaikousoku_code:0</v>
      </c>
    </row>
    <row r="222" spans="1:36" ht="19.5" customHeight="1" x14ac:dyDescent="0.2">
      <c r="A222" s="139"/>
      <c r="B222" s="123"/>
      <c r="C222" s="140"/>
      <c r="D222" s="141"/>
      <c r="E222" s="128"/>
      <c r="F222" s="142"/>
      <c r="G222" s="143"/>
      <c r="H222" s="155" t="s">
        <v>430</v>
      </c>
      <c r="I222" s="175" t="s">
        <v>383</v>
      </c>
      <c r="J222" s="157" t="s">
        <v>395</v>
      </c>
      <c r="K222" s="158"/>
      <c r="L222" s="159"/>
      <c r="M222" s="160" t="s">
        <v>383</v>
      </c>
      <c r="N222" s="157" t="s">
        <v>431</v>
      </c>
      <c r="O222" s="157"/>
      <c r="P222" s="157"/>
      <c r="Q222" s="162"/>
      <c r="R222" s="162"/>
      <c r="S222" s="162"/>
      <c r="T222" s="162"/>
      <c r="U222" s="162"/>
      <c r="V222" s="162"/>
      <c r="W222" s="162"/>
      <c r="X222" s="163"/>
      <c r="Y222" s="147"/>
      <c r="Z222" s="147"/>
      <c r="AA222" s="147"/>
      <c r="AB222" s="148"/>
      <c r="AC222" s="819"/>
      <c r="AD222" s="820"/>
      <c r="AE222" s="820"/>
      <c r="AF222" s="821"/>
      <c r="AI222" s="109" t="str">
        <f>"26:field223:" &amp; IF(I222="■",1,IF(M222="■",2,0))</f>
        <v>26:field223:0</v>
      </c>
    </row>
    <row r="223" spans="1:36" ht="19.5" customHeight="1" x14ac:dyDescent="0.2">
      <c r="A223" s="139"/>
      <c r="B223" s="123"/>
      <c r="C223" s="140"/>
      <c r="D223" s="141"/>
      <c r="E223" s="128"/>
      <c r="F223" s="142"/>
      <c r="G223" s="143"/>
      <c r="H223" s="155" t="s">
        <v>448</v>
      </c>
      <c r="I223" s="175" t="s">
        <v>383</v>
      </c>
      <c r="J223" s="169" t="s">
        <v>395</v>
      </c>
      <c r="K223" s="179"/>
      <c r="L223" s="254"/>
      <c r="M223" s="203" t="s">
        <v>383</v>
      </c>
      <c r="N223" s="169" t="s">
        <v>431</v>
      </c>
      <c r="O223" s="169"/>
      <c r="P223" s="169"/>
      <c r="Q223" s="152"/>
      <c r="R223" s="152"/>
      <c r="S223" s="152"/>
      <c r="T223" s="152"/>
      <c r="U223" s="152"/>
      <c r="V223" s="152"/>
      <c r="W223" s="152"/>
      <c r="X223" s="153"/>
      <c r="Y223" s="147"/>
      <c r="Z223" s="126"/>
      <c r="AA223" s="147"/>
      <c r="AB223" s="148"/>
      <c r="AC223" s="819"/>
      <c r="AD223" s="820"/>
      <c r="AE223" s="820"/>
      <c r="AF223" s="821"/>
      <c r="AI223" s="109" t="str">
        <f>"26:field232:" &amp; IF(I223="■",1,IF(M223="■",2,0))</f>
        <v>26:field232:0</v>
      </c>
    </row>
    <row r="224" spans="1:36" ht="18.75" customHeight="1" x14ac:dyDescent="0.2">
      <c r="A224" s="139"/>
      <c r="B224" s="123"/>
      <c r="C224" s="140"/>
      <c r="D224" s="141"/>
      <c r="E224" s="143"/>
      <c r="F224" s="125" t="s">
        <v>383</v>
      </c>
      <c r="G224" s="128" t="s">
        <v>340</v>
      </c>
      <c r="H224" s="242" t="s">
        <v>492</v>
      </c>
      <c r="I224" s="175" t="s">
        <v>383</v>
      </c>
      <c r="J224" s="157" t="s">
        <v>300</v>
      </c>
      <c r="K224" s="158"/>
      <c r="L224" s="159"/>
      <c r="M224" s="160" t="s">
        <v>383</v>
      </c>
      <c r="N224" s="157" t="s">
        <v>332</v>
      </c>
      <c r="O224" s="207"/>
      <c r="P224" s="207"/>
      <c r="Q224" s="207"/>
      <c r="R224" s="207"/>
      <c r="S224" s="207"/>
      <c r="T224" s="207"/>
      <c r="U224" s="207"/>
      <c r="V224" s="207"/>
      <c r="W224" s="207"/>
      <c r="X224" s="208"/>
      <c r="Y224" s="154"/>
      <c r="Z224" s="147"/>
      <c r="AA224" s="147"/>
      <c r="AB224" s="148"/>
      <c r="AC224" s="819"/>
      <c r="AD224" s="820"/>
      <c r="AE224" s="820"/>
      <c r="AF224" s="821"/>
      <c r="AI224" s="109" t="str">
        <f>"26:ryokan_code:" &amp; IF(I224="■",1,IF(M224="■",2,0))</f>
        <v>26:ryokan_code:0</v>
      </c>
    </row>
    <row r="225" spans="1:35" ht="18.75" customHeight="1" x14ac:dyDescent="0.2">
      <c r="A225" s="139"/>
      <c r="B225" s="123"/>
      <c r="C225" s="140"/>
      <c r="D225" s="141"/>
      <c r="E225" s="143"/>
      <c r="F225" s="141"/>
      <c r="G225" s="128" t="s">
        <v>341</v>
      </c>
      <c r="H225" s="242" t="s">
        <v>101</v>
      </c>
      <c r="I225" s="175" t="s">
        <v>383</v>
      </c>
      <c r="J225" s="157" t="s">
        <v>428</v>
      </c>
      <c r="K225" s="158"/>
      <c r="L225" s="159"/>
      <c r="M225" s="160" t="s">
        <v>383</v>
      </c>
      <c r="N225" s="157" t="s">
        <v>333</v>
      </c>
      <c r="O225" s="162"/>
      <c r="P225" s="162"/>
      <c r="Q225" s="162"/>
      <c r="R225" s="207"/>
      <c r="S225" s="162"/>
      <c r="T225" s="162"/>
      <c r="U225" s="162"/>
      <c r="V225" s="162"/>
      <c r="W225" s="162"/>
      <c r="X225" s="163"/>
      <c r="Y225" s="154"/>
      <c r="Z225" s="147"/>
      <c r="AA225" s="147"/>
      <c r="AB225" s="148"/>
      <c r="AC225" s="819"/>
      <c r="AD225" s="820"/>
      <c r="AE225" s="820"/>
      <c r="AF225" s="821"/>
      <c r="AI225" s="109" t="str">
        <f>"26:doctor_haiti_code:" &amp; IF(I225="■",1,IF(M225="■",2,0))</f>
        <v>26:doctor_haiti_code:0</v>
      </c>
    </row>
    <row r="226" spans="1:35" ht="18.75" customHeight="1" x14ac:dyDescent="0.2">
      <c r="A226" s="139"/>
      <c r="B226" s="123"/>
      <c r="C226" s="140"/>
      <c r="D226" s="141"/>
      <c r="E226" s="143"/>
      <c r="F226" s="125" t="s">
        <v>383</v>
      </c>
      <c r="G226" s="128" t="s">
        <v>342</v>
      </c>
      <c r="H226" s="242" t="s">
        <v>486</v>
      </c>
      <c r="I226" s="175" t="s">
        <v>383</v>
      </c>
      <c r="J226" s="157" t="s">
        <v>250</v>
      </c>
      <c r="K226" s="158"/>
      <c r="L226" s="160" t="s">
        <v>383</v>
      </c>
      <c r="M226" s="157" t="s">
        <v>267</v>
      </c>
      <c r="N226" s="162"/>
      <c r="O226" s="162"/>
      <c r="P226" s="162"/>
      <c r="Q226" s="162"/>
      <c r="R226" s="162"/>
      <c r="S226" s="162"/>
      <c r="T226" s="162"/>
      <c r="U226" s="162"/>
      <c r="V226" s="162"/>
      <c r="W226" s="162"/>
      <c r="X226" s="163"/>
      <c r="Y226" s="154"/>
      <c r="Z226" s="147"/>
      <c r="AA226" s="147"/>
      <c r="AB226" s="148"/>
      <c r="AC226" s="819"/>
      <c r="AD226" s="820"/>
      <c r="AE226" s="820"/>
      <c r="AF226" s="821"/>
      <c r="AI226" s="109" t="str">
        <f>"26:jyakuninti_uke_code:" &amp; IF(I226="■",1,IF(L226="■",2,0))</f>
        <v>26:jyakuninti_uke_code:0</v>
      </c>
    </row>
    <row r="227" spans="1:35" ht="18.75" customHeight="1" x14ac:dyDescent="0.2">
      <c r="A227" s="139"/>
      <c r="B227" s="123"/>
      <c r="C227" s="140"/>
      <c r="D227" s="141"/>
      <c r="E227" s="143"/>
      <c r="F227" s="141"/>
      <c r="G227" s="128" t="s">
        <v>343</v>
      </c>
      <c r="H227" s="242" t="s">
        <v>95</v>
      </c>
      <c r="I227" s="175" t="s">
        <v>383</v>
      </c>
      <c r="J227" s="157" t="s">
        <v>265</v>
      </c>
      <c r="K227" s="158"/>
      <c r="L227" s="159"/>
      <c r="M227" s="160" t="s">
        <v>383</v>
      </c>
      <c r="N227" s="157" t="s">
        <v>266</v>
      </c>
      <c r="O227" s="162"/>
      <c r="P227" s="162"/>
      <c r="Q227" s="162"/>
      <c r="R227" s="162"/>
      <c r="S227" s="162"/>
      <c r="T227" s="162"/>
      <c r="U227" s="162"/>
      <c r="V227" s="162"/>
      <c r="W227" s="162"/>
      <c r="X227" s="163"/>
      <c r="Y227" s="154"/>
      <c r="Z227" s="147"/>
      <c r="AA227" s="147"/>
      <c r="AB227" s="148"/>
      <c r="AC227" s="819"/>
      <c r="AD227" s="820"/>
      <c r="AE227" s="820"/>
      <c r="AF227" s="821"/>
      <c r="AI227" s="109" t="str">
        <f>"26:sougei_code:" &amp; IF(I227="■",1,IF(M227="■",2,0))</f>
        <v>26:sougei_code:0</v>
      </c>
    </row>
    <row r="228" spans="1:35" ht="19.5" customHeight="1" x14ac:dyDescent="0.2">
      <c r="A228" s="125" t="s">
        <v>383</v>
      </c>
      <c r="B228" s="123">
        <v>26</v>
      </c>
      <c r="C228" s="140" t="s">
        <v>489</v>
      </c>
      <c r="D228" s="125" t="s">
        <v>383</v>
      </c>
      <c r="E228" s="143" t="s">
        <v>493</v>
      </c>
      <c r="F228" s="125" t="s">
        <v>383</v>
      </c>
      <c r="G228" s="128" t="s">
        <v>344</v>
      </c>
      <c r="H228" s="155" t="s">
        <v>433</v>
      </c>
      <c r="I228" s="175" t="s">
        <v>383</v>
      </c>
      <c r="J228" s="157" t="s">
        <v>250</v>
      </c>
      <c r="K228" s="157"/>
      <c r="L228" s="160" t="s">
        <v>383</v>
      </c>
      <c r="M228" s="157" t="s">
        <v>267</v>
      </c>
      <c r="N228" s="157"/>
      <c r="O228" s="162"/>
      <c r="P228" s="157"/>
      <c r="Q228" s="162"/>
      <c r="R228" s="162"/>
      <c r="S228" s="162"/>
      <c r="T228" s="162"/>
      <c r="U228" s="162"/>
      <c r="V228" s="162"/>
      <c r="W228" s="162"/>
      <c r="X228" s="163"/>
      <c r="Y228" s="147"/>
      <c r="Z228" s="147"/>
      <c r="AA228" s="147"/>
      <c r="AB228" s="148"/>
      <c r="AC228" s="819"/>
      <c r="AD228" s="820"/>
      <c r="AE228" s="820"/>
      <c r="AF228" s="821"/>
      <c r="AI228" s="109" t="str">
        <f>"26:field224:" &amp; IF(I228="■",1,IF(L228="■",2,0))</f>
        <v>26:field224:0</v>
      </c>
    </row>
    <row r="229" spans="1:35" ht="18.75" customHeight="1" x14ac:dyDescent="0.2">
      <c r="A229" s="139"/>
      <c r="B229" s="123"/>
      <c r="C229" s="140"/>
      <c r="D229" s="141"/>
      <c r="E229" s="128"/>
      <c r="F229" s="141"/>
      <c r="G229" s="128" t="s">
        <v>345</v>
      </c>
      <c r="H229" s="242" t="s">
        <v>112</v>
      </c>
      <c r="I229" s="175" t="s">
        <v>383</v>
      </c>
      <c r="J229" s="157" t="s">
        <v>250</v>
      </c>
      <c r="K229" s="158"/>
      <c r="L229" s="160" t="s">
        <v>383</v>
      </c>
      <c r="M229" s="157" t="s">
        <v>267</v>
      </c>
      <c r="N229" s="162"/>
      <c r="O229" s="162"/>
      <c r="P229" s="162"/>
      <c r="Q229" s="162"/>
      <c r="R229" s="162"/>
      <c r="S229" s="162"/>
      <c r="T229" s="162"/>
      <c r="U229" s="162"/>
      <c r="V229" s="162"/>
      <c r="W229" s="162"/>
      <c r="X229" s="163"/>
      <c r="Y229" s="154"/>
      <c r="Z229" s="147"/>
      <c r="AA229" s="147"/>
      <c r="AB229" s="148"/>
      <c r="AC229" s="819"/>
      <c r="AD229" s="820"/>
      <c r="AE229" s="820"/>
      <c r="AF229" s="821"/>
      <c r="AI229" s="109" t="str">
        <f>"26:ryouyoushoku_code:" &amp; IF(I229="■",1,IF(L229="■",2,0))</f>
        <v>26:ryouyoushoku_code:0</v>
      </c>
    </row>
    <row r="230" spans="1:35" ht="18.75" customHeight="1" x14ac:dyDescent="0.2">
      <c r="A230" s="139"/>
      <c r="B230" s="123"/>
      <c r="C230" s="140"/>
      <c r="D230" s="141"/>
      <c r="E230" s="143"/>
      <c r="F230" s="125" t="s">
        <v>383</v>
      </c>
      <c r="G230" s="128" t="s">
        <v>346</v>
      </c>
      <c r="H230" s="242" t="s">
        <v>184</v>
      </c>
      <c r="I230" s="175" t="s">
        <v>383</v>
      </c>
      <c r="J230" s="157" t="s">
        <v>250</v>
      </c>
      <c r="K230" s="157"/>
      <c r="L230" s="160" t="s">
        <v>383</v>
      </c>
      <c r="M230" s="157" t="s">
        <v>251</v>
      </c>
      <c r="N230" s="157"/>
      <c r="O230" s="160" t="s">
        <v>383</v>
      </c>
      <c r="P230" s="157" t="s">
        <v>252</v>
      </c>
      <c r="Q230" s="162"/>
      <c r="R230" s="162"/>
      <c r="S230" s="162"/>
      <c r="T230" s="162"/>
      <c r="U230" s="162"/>
      <c r="V230" s="162"/>
      <c r="W230" s="162"/>
      <c r="X230" s="163"/>
      <c r="Y230" s="154"/>
      <c r="Z230" s="147"/>
      <c r="AA230" s="147"/>
      <c r="AB230" s="148"/>
      <c r="AC230" s="819"/>
      <c r="AD230" s="820"/>
      <c r="AE230" s="820"/>
      <c r="AF230" s="821"/>
      <c r="AI230" s="109" t="str">
        <f>"26:ninti_senmoncare_code:" &amp; IF(I230="■",1,IF(O230="■",3,IF(L230="■",2,0)))</f>
        <v>26:ninti_senmoncare_code:0</v>
      </c>
    </row>
    <row r="231" spans="1:35" ht="18.75" customHeight="1" x14ac:dyDescent="0.2">
      <c r="A231" s="139"/>
      <c r="B231" s="123"/>
      <c r="C231" s="140"/>
      <c r="D231" s="141"/>
      <c r="E231" s="143"/>
      <c r="F231" s="141"/>
      <c r="G231" s="128" t="s">
        <v>341</v>
      </c>
      <c r="H231" s="741" t="s">
        <v>102</v>
      </c>
      <c r="I231" s="175" t="s">
        <v>383</v>
      </c>
      <c r="J231" s="168" t="s">
        <v>320</v>
      </c>
      <c r="K231" s="168"/>
      <c r="L231" s="251"/>
      <c r="M231" s="251"/>
      <c r="N231" s="251"/>
      <c r="O231" s="251"/>
      <c r="P231" s="206" t="s">
        <v>383</v>
      </c>
      <c r="Q231" s="168" t="s">
        <v>321</v>
      </c>
      <c r="R231" s="251"/>
      <c r="S231" s="251"/>
      <c r="T231" s="251"/>
      <c r="U231" s="251"/>
      <c r="V231" s="251"/>
      <c r="W231" s="251"/>
      <c r="X231" s="252"/>
      <c r="Y231" s="154"/>
      <c r="Z231" s="147"/>
      <c r="AA231" s="147"/>
      <c r="AB231" s="148"/>
      <c r="AC231" s="819"/>
      <c r="AD231" s="820"/>
      <c r="AE231" s="820"/>
      <c r="AF231" s="821"/>
      <c r="AI231" s="109" t="str">
        <f>"26:" &amp; IF(AND(I231="□",P231="□",I232="□"),"tokusin_jyusho_code:0:tokusin_yakuzai_code:0:shuudan_comu_code:0",IF(I231="■","tokusin_jyusho_code:2","tokusin_jyusho_code:1")
&amp;IF(P231="■",":tokusin_yakuzai_code:2",":tokusin_yakuzai_code:1")
&amp;IF(I232="■",":shuudan_comu_code:2",":shuudan_comu_code:1"))</f>
        <v>26:tokusin_jyusho_code:0:tokusin_yakuzai_code:0:shuudan_comu_code:0</v>
      </c>
    </row>
    <row r="232" spans="1:35" ht="18.75" customHeight="1" x14ac:dyDescent="0.2">
      <c r="A232" s="139"/>
      <c r="B232" s="123"/>
      <c r="C232" s="140"/>
      <c r="D232" s="141"/>
      <c r="E232" s="143"/>
      <c r="F232" s="125" t="s">
        <v>383</v>
      </c>
      <c r="G232" s="128" t="s">
        <v>347</v>
      </c>
      <c r="H232" s="742"/>
      <c r="I232" s="125" t="s">
        <v>383</v>
      </c>
      <c r="J232" s="169" t="s">
        <v>334</v>
      </c>
      <c r="K232" s="152"/>
      <c r="L232" s="152"/>
      <c r="M232" s="152"/>
      <c r="N232" s="152"/>
      <c r="O232" s="152"/>
      <c r="P232" s="152"/>
      <c r="Q232" s="151"/>
      <c r="R232" s="152"/>
      <c r="S232" s="152"/>
      <c r="T232" s="152"/>
      <c r="U232" s="152"/>
      <c r="V232" s="152"/>
      <c r="W232" s="152"/>
      <c r="X232" s="153"/>
      <c r="Y232" s="154"/>
      <c r="Z232" s="147"/>
      <c r="AA232" s="147"/>
      <c r="AB232" s="148"/>
      <c r="AC232" s="819"/>
      <c r="AD232" s="820"/>
      <c r="AE232" s="820"/>
      <c r="AF232" s="821"/>
    </row>
    <row r="233" spans="1:35" ht="18.75" customHeight="1" x14ac:dyDescent="0.2">
      <c r="A233" s="139"/>
      <c r="B233" s="123"/>
      <c r="C233" s="140"/>
      <c r="D233" s="141"/>
      <c r="E233" s="143"/>
      <c r="F233" s="141"/>
      <c r="G233" s="128" t="s">
        <v>348</v>
      </c>
      <c r="H233" s="250" t="s">
        <v>442</v>
      </c>
      <c r="I233" s="175" t="s">
        <v>383</v>
      </c>
      <c r="J233" s="157" t="s">
        <v>250</v>
      </c>
      <c r="K233" s="157"/>
      <c r="L233" s="160" t="s">
        <v>383</v>
      </c>
      <c r="M233" s="157" t="s">
        <v>251</v>
      </c>
      <c r="N233" s="157"/>
      <c r="O233" s="160" t="s">
        <v>383</v>
      </c>
      <c r="P233" s="157" t="s">
        <v>252</v>
      </c>
      <c r="Q233" s="162"/>
      <c r="R233" s="162"/>
      <c r="S233" s="162"/>
      <c r="T233" s="162"/>
      <c r="U233" s="251"/>
      <c r="V233" s="251"/>
      <c r="W233" s="251"/>
      <c r="X233" s="252"/>
      <c r="Y233" s="154"/>
      <c r="Z233" s="147"/>
      <c r="AA233" s="147"/>
      <c r="AB233" s="148"/>
      <c r="AC233" s="819"/>
      <c r="AD233" s="820"/>
      <c r="AE233" s="820"/>
      <c r="AF233" s="821"/>
      <c r="AI233" s="109" t="str">
        <f>"26:field225:" &amp; IF(I233="■",1,IF(L233="■",2,IF(O233="■",3,0)))</f>
        <v>26:field225:0</v>
      </c>
    </row>
    <row r="234" spans="1:35" ht="18.75" customHeight="1" x14ac:dyDescent="0.2">
      <c r="A234" s="139"/>
      <c r="B234" s="123"/>
      <c r="C234" s="140"/>
      <c r="D234" s="141"/>
      <c r="E234" s="143"/>
      <c r="F234" s="125" t="s">
        <v>383</v>
      </c>
      <c r="G234" s="128" t="s">
        <v>349</v>
      </c>
      <c r="H234" s="741" t="s">
        <v>103</v>
      </c>
      <c r="I234" s="175" t="s">
        <v>383</v>
      </c>
      <c r="J234" s="168" t="s">
        <v>335</v>
      </c>
      <c r="K234" s="181"/>
      <c r="L234" s="214"/>
      <c r="M234" s="206" t="s">
        <v>383</v>
      </c>
      <c r="N234" s="168" t="s">
        <v>336</v>
      </c>
      <c r="O234" s="251"/>
      <c r="P234" s="251"/>
      <c r="Q234" s="206" t="s">
        <v>383</v>
      </c>
      <c r="R234" s="168" t="s">
        <v>337</v>
      </c>
      <c r="S234" s="251"/>
      <c r="T234" s="251"/>
      <c r="U234" s="251"/>
      <c r="V234" s="251"/>
      <c r="W234" s="251"/>
      <c r="X234" s="252"/>
      <c r="Y234" s="154"/>
      <c r="Z234" s="147"/>
      <c r="AA234" s="147"/>
      <c r="AB234" s="148"/>
      <c r="AC234" s="819"/>
      <c r="AD234" s="820"/>
      <c r="AE234" s="820"/>
      <c r="AF234" s="821"/>
      <c r="AI234" s="109" t="str">
        <f>"26:"&amp;IF(AND(I234="□",M234="□",Q234="□",I235="□",Q235="□"),"koriha_rryoho1_code:0:koriha_sryoho_code:0:koriha_gengo_code:0:riha_seisin_code:0:koriha_other_code:0",IF(I234="■","koriha_rryoho1_code:2","koriha_rryoho1_code:1")
&amp;IF(M234="■",":koriha_sryoho_code:2",":koriha_sryoho_code:1")
&amp;IF(Q234="■",":koriha_gengo_code:2",":koriha_gengo_code:1")
&amp;IF(I235="■",":riha_seisin_code:2",":riha_seisin_code:1")
&amp;IF(Q235="■",":koriha_other_code:2",":koriha_other_code:1"))</f>
        <v>26:koriha_rryoho1_code:0:koriha_sryoho_code:0:koriha_gengo_code:0:riha_seisin_code:0:koriha_other_code:0</v>
      </c>
    </row>
    <row r="235" spans="1:35" ht="18.75" customHeight="1" x14ac:dyDescent="0.2">
      <c r="A235" s="139"/>
      <c r="B235" s="123"/>
      <c r="C235" s="140"/>
      <c r="D235" s="141"/>
      <c r="E235" s="143"/>
      <c r="F235" s="141"/>
      <c r="G235" s="128"/>
      <c r="H235" s="742"/>
      <c r="I235" s="125" t="s">
        <v>383</v>
      </c>
      <c r="J235" s="169" t="s">
        <v>338</v>
      </c>
      <c r="K235" s="152"/>
      <c r="L235" s="152"/>
      <c r="M235" s="152"/>
      <c r="N235" s="152"/>
      <c r="O235" s="152"/>
      <c r="P235" s="152"/>
      <c r="Q235" s="203" t="s">
        <v>383</v>
      </c>
      <c r="R235" s="169" t="s">
        <v>339</v>
      </c>
      <c r="S235" s="151"/>
      <c r="T235" s="152"/>
      <c r="U235" s="152"/>
      <c r="V235" s="152"/>
      <c r="W235" s="152"/>
      <c r="X235" s="153"/>
      <c r="Y235" s="154"/>
      <c r="Z235" s="147"/>
      <c r="AA235" s="147"/>
      <c r="AB235" s="148"/>
      <c r="AC235" s="819"/>
      <c r="AD235" s="820"/>
      <c r="AE235" s="820"/>
      <c r="AF235" s="821"/>
      <c r="AI235" s="109"/>
    </row>
    <row r="236" spans="1:35" ht="18.75" customHeight="1" x14ac:dyDescent="0.2">
      <c r="A236" s="139"/>
      <c r="B236" s="123"/>
      <c r="C236" s="140"/>
      <c r="D236" s="141"/>
      <c r="E236" s="143"/>
      <c r="F236" s="141"/>
      <c r="G236" s="128"/>
      <c r="H236" s="242" t="s">
        <v>118</v>
      </c>
      <c r="I236" s="175" t="s">
        <v>383</v>
      </c>
      <c r="J236" s="157" t="s">
        <v>250</v>
      </c>
      <c r="K236" s="157"/>
      <c r="L236" s="160" t="s">
        <v>383</v>
      </c>
      <c r="M236" s="157" t="s">
        <v>258</v>
      </c>
      <c r="N236" s="157"/>
      <c r="O236" s="160" t="s">
        <v>383</v>
      </c>
      <c r="P236" s="157" t="s">
        <v>259</v>
      </c>
      <c r="Q236" s="207"/>
      <c r="R236" s="160" t="s">
        <v>383</v>
      </c>
      <c r="S236" s="157" t="s">
        <v>283</v>
      </c>
      <c r="T236" s="207"/>
      <c r="U236" s="207"/>
      <c r="V236" s="207"/>
      <c r="W236" s="207"/>
      <c r="X236" s="208"/>
      <c r="Y236" s="154"/>
      <c r="Z236" s="147"/>
      <c r="AA236" s="147"/>
      <c r="AB236" s="148"/>
      <c r="AC236" s="819"/>
      <c r="AD236" s="820"/>
      <c r="AE236" s="820"/>
      <c r="AF236" s="821"/>
      <c r="AI236" s="109" t="str">
        <f>"26:serteikyo_kyoka_code:" &amp; IF(I236="■",1,IF(L236="■",6,IF(O236="■",5,IF(R236="■",7,0))))</f>
        <v>26:serteikyo_kyoka_code:0</v>
      </c>
    </row>
    <row r="237" spans="1:35" ht="18.75" customHeight="1" x14ac:dyDescent="0.2">
      <c r="A237" s="139"/>
      <c r="B237" s="123"/>
      <c r="C237" s="140"/>
      <c r="D237" s="141"/>
      <c r="E237" s="143"/>
      <c r="F237" s="141"/>
      <c r="G237" s="128"/>
      <c r="H237" s="713" t="s">
        <v>805</v>
      </c>
      <c r="I237" s="727" t="s">
        <v>383</v>
      </c>
      <c r="J237" s="726" t="s">
        <v>250</v>
      </c>
      <c r="K237" s="726"/>
      <c r="L237" s="727" t="s">
        <v>383</v>
      </c>
      <c r="M237" s="726" t="s">
        <v>267</v>
      </c>
      <c r="N237" s="726"/>
      <c r="O237" s="172"/>
      <c r="P237" s="172"/>
      <c r="Q237" s="172"/>
      <c r="R237" s="172"/>
      <c r="S237" s="172"/>
      <c r="T237" s="172"/>
      <c r="U237" s="172"/>
      <c r="V237" s="172"/>
      <c r="W237" s="172"/>
      <c r="X237" s="209"/>
      <c r="Y237" s="154"/>
      <c r="Z237" s="147"/>
      <c r="AA237" s="147"/>
      <c r="AB237" s="148"/>
      <c r="AC237" s="819"/>
      <c r="AD237" s="820"/>
      <c r="AE237" s="820"/>
      <c r="AF237" s="821"/>
      <c r="AI237" s="109" t="str">
        <f>"26:field221:" &amp; IF(I237="■",1,IF(L237="■",2,0))</f>
        <v>26:field221:0</v>
      </c>
    </row>
    <row r="238" spans="1:35" ht="18.75" customHeight="1" x14ac:dyDescent="0.2">
      <c r="A238" s="139"/>
      <c r="B238" s="123"/>
      <c r="C238" s="140"/>
      <c r="D238" s="141"/>
      <c r="E238" s="143"/>
      <c r="F238" s="141"/>
      <c r="G238" s="128"/>
      <c r="H238" s="737"/>
      <c r="I238" s="727"/>
      <c r="J238" s="726"/>
      <c r="K238" s="726"/>
      <c r="L238" s="727"/>
      <c r="M238" s="726"/>
      <c r="N238" s="726"/>
      <c r="O238" s="151"/>
      <c r="P238" s="151"/>
      <c r="Q238" s="151"/>
      <c r="R238" s="151"/>
      <c r="S238" s="151"/>
      <c r="T238" s="151"/>
      <c r="U238" s="151"/>
      <c r="V238" s="151"/>
      <c r="W238" s="151"/>
      <c r="X238" s="238"/>
      <c r="Y238" s="154"/>
      <c r="Z238" s="147"/>
      <c r="AA238" s="147"/>
      <c r="AB238" s="148"/>
      <c r="AC238" s="819"/>
      <c r="AD238" s="820"/>
      <c r="AE238" s="820"/>
      <c r="AF238" s="821"/>
    </row>
    <row r="239" spans="1:35" s="621" customFormat="1" ht="19.8" customHeight="1" x14ac:dyDescent="0.2">
      <c r="A239" s="139"/>
      <c r="B239" s="670"/>
      <c r="C239" s="140"/>
      <c r="D239" s="141"/>
      <c r="E239" s="128"/>
      <c r="F239" s="142"/>
      <c r="G239" s="143"/>
      <c r="H239" s="713" t="s">
        <v>790</v>
      </c>
      <c r="I239" s="642" t="s">
        <v>383</v>
      </c>
      <c r="J239" s="616" t="s">
        <v>627</v>
      </c>
      <c r="K239" s="616"/>
      <c r="L239" s="615"/>
      <c r="M239" s="644" t="s">
        <v>383</v>
      </c>
      <c r="N239" s="616" t="s">
        <v>791</v>
      </c>
      <c r="O239" s="617"/>
      <c r="P239" s="615"/>
      <c r="Q239" s="644" t="s">
        <v>383</v>
      </c>
      <c r="R239" s="618" t="s">
        <v>792</v>
      </c>
      <c r="S239" s="615"/>
      <c r="T239" s="615"/>
      <c r="U239" s="615"/>
      <c r="V239" s="618"/>
      <c r="W239" s="619"/>
      <c r="X239" s="620"/>
      <c r="Y239" s="154"/>
      <c r="Z239" s="147"/>
      <c r="AA239" s="147"/>
      <c r="AB239" s="148"/>
      <c r="AC239" s="819"/>
      <c r="AD239" s="820"/>
      <c r="AE239" s="820"/>
      <c r="AF239" s="821"/>
    </row>
    <row r="240" spans="1:35" s="621" customFormat="1" ht="21" customHeight="1" x14ac:dyDescent="0.2">
      <c r="A240" s="139"/>
      <c r="B240" s="670"/>
      <c r="C240" s="140"/>
      <c r="D240" s="141"/>
      <c r="E240" s="128"/>
      <c r="F240" s="142"/>
      <c r="G240" s="143"/>
      <c r="H240" s="714"/>
      <c r="I240" s="645" t="s">
        <v>383</v>
      </c>
      <c r="J240" s="623" t="s">
        <v>793</v>
      </c>
      <c r="K240" s="623"/>
      <c r="L240" s="622"/>
      <c r="M240" s="645" t="s">
        <v>383</v>
      </c>
      <c r="N240" s="623" t="s">
        <v>794</v>
      </c>
      <c r="O240" s="624"/>
      <c r="P240" s="622"/>
      <c r="Q240" s="645" t="s">
        <v>383</v>
      </c>
      <c r="R240" s="623" t="s">
        <v>795</v>
      </c>
      <c r="S240" s="622"/>
      <c r="T240" s="623"/>
      <c r="U240" s="645" t="s">
        <v>383</v>
      </c>
      <c r="V240" s="623" t="s">
        <v>796</v>
      </c>
      <c r="W240" s="625"/>
      <c r="X240" s="626"/>
      <c r="Y240" s="154"/>
      <c r="Z240" s="147"/>
      <c r="AA240" s="147"/>
      <c r="AB240" s="148"/>
      <c r="AC240" s="819"/>
      <c r="AD240" s="820"/>
      <c r="AE240" s="820"/>
      <c r="AF240" s="821"/>
    </row>
    <row r="241" spans="1:36" ht="18.75" customHeight="1" x14ac:dyDescent="0.2">
      <c r="A241" s="129"/>
      <c r="B241" s="116"/>
      <c r="C241" s="130"/>
      <c r="D241" s="131"/>
      <c r="E241" s="121"/>
      <c r="F241" s="132"/>
      <c r="G241" s="121"/>
      <c r="H241" s="831" t="s">
        <v>97</v>
      </c>
      <c r="I241" s="412" t="s">
        <v>383</v>
      </c>
      <c r="J241" s="413" t="s">
        <v>300</v>
      </c>
      <c r="K241" s="414"/>
      <c r="L241" s="415"/>
      <c r="M241" s="416" t="s">
        <v>383</v>
      </c>
      <c r="N241" s="413" t="s">
        <v>328</v>
      </c>
      <c r="O241" s="417"/>
      <c r="P241" s="417"/>
      <c r="Q241" s="416" t="s">
        <v>383</v>
      </c>
      <c r="R241" s="413" t="s">
        <v>329</v>
      </c>
      <c r="S241" s="417"/>
      <c r="T241" s="417"/>
      <c r="U241" s="416" t="s">
        <v>383</v>
      </c>
      <c r="V241" s="413" t="s">
        <v>330</v>
      </c>
      <c r="W241" s="417"/>
      <c r="X241" s="418"/>
      <c r="Y241" s="134" t="s">
        <v>383</v>
      </c>
      <c r="Z241" s="119" t="s">
        <v>249</v>
      </c>
      <c r="AA241" s="119"/>
      <c r="AB241" s="137"/>
      <c r="AC241" s="816"/>
      <c r="AD241" s="817"/>
      <c r="AE241" s="817"/>
      <c r="AF241" s="818"/>
      <c r="AG241" s="109" t="str">
        <f>"ser_code = '" &amp; IF(A252="■",26,"") &amp; "'"</f>
        <v>ser_code = ''</v>
      </c>
      <c r="AH241" s="109" t="str">
        <f>"26:jininkbn_code:" &amp; IF(F250="■",1,IF(F252="■",2,IF(F254="■",3,0)))</f>
        <v>26:jininkbn_code:0</v>
      </c>
      <c r="AI241" s="109" t="str">
        <f>"26:yakan_kinmu_code:" &amp; IF(I241="■",1,IF(M241="■",2,IF(Q241="■",3,IF(U241="■",7,IF(I242="■",5,IF(M242="■",6,0))))))</f>
        <v>26:yakan_kinmu_code:0</v>
      </c>
      <c r="AJ241" s="109" t="str">
        <f>"26:field203:" &amp; IF(Y241="■",1,IF(Y242="■",2,0))</f>
        <v>26:field203:0</v>
      </c>
    </row>
    <row r="242" spans="1:36" ht="18.75" customHeight="1" x14ac:dyDescent="0.2">
      <c r="A242" s="139"/>
      <c r="B242" s="123"/>
      <c r="C242" s="140"/>
      <c r="D242" s="141"/>
      <c r="E242" s="128"/>
      <c r="F242" s="142"/>
      <c r="G242" s="128"/>
      <c r="H242" s="832"/>
      <c r="I242" s="460" t="s">
        <v>383</v>
      </c>
      <c r="J242" s="381" t="s">
        <v>331</v>
      </c>
      <c r="K242" s="419"/>
      <c r="L242" s="382"/>
      <c r="M242" s="383" t="s">
        <v>383</v>
      </c>
      <c r="N242" s="381" t="s">
        <v>301</v>
      </c>
      <c r="O242" s="384"/>
      <c r="P242" s="384"/>
      <c r="Q242" s="384"/>
      <c r="R242" s="384"/>
      <c r="S242" s="384"/>
      <c r="T242" s="384"/>
      <c r="U242" s="384"/>
      <c r="V242" s="384"/>
      <c r="W242" s="384"/>
      <c r="X242" s="385"/>
      <c r="Y242" s="118" t="s">
        <v>383</v>
      </c>
      <c r="Z242" s="126" t="s">
        <v>255</v>
      </c>
      <c r="AA242" s="147"/>
      <c r="AB242" s="148"/>
      <c r="AC242" s="819"/>
      <c r="AD242" s="820"/>
      <c r="AE242" s="820"/>
      <c r="AF242" s="821"/>
      <c r="AG242" s="109" t="str">
        <f>"26:sisetukbn_code:" &amp; IF(D252="■",6,0)</f>
        <v>26:sisetukbn_code:0</v>
      </c>
      <c r="AH242" s="109"/>
      <c r="AI242" s="109"/>
      <c r="AJ242" s="109"/>
    </row>
    <row r="243" spans="1:36" ht="18.75" customHeight="1" x14ac:dyDescent="0.2">
      <c r="A243" s="139"/>
      <c r="B243" s="123"/>
      <c r="C243" s="140"/>
      <c r="D243" s="141"/>
      <c r="E243" s="128"/>
      <c r="F243" s="142"/>
      <c r="G243" s="128"/>
      <c r="H243" s="364" t="s">
        <v>93</v>
      </c>
      <c r="I243" s="374" t="s">
        <v>383</v>
      </c>
      <c r="J243" s="350" t="s">
        <v>250</v>
      </c>
      <c r="K243" s="350"/>
      <c r="L243" s="352"/>
      <c r="M243" s="353" t="s">
        <v>383</v>
      </c>
      <c r="N243" s="350" t="s">
        <v>289</v>
      </c>
      <c r="O243" s="350"/>
      <c r="P243" s="352"/>
      <c r="Q243" s="353" t="s">
        <v>383</v>
      </c>
      <c r="R243" s="420" t="s">
        <v>290</v>
      </c>
      <c r="S243" s="420"/>
      <c r="T243" s="420"/>
      <c r="U243" s="353" t="s">
        <v>383</v>
      </c>
      <c r="V243" s="420" t="s">
        <v>291</v>
      </c>
      <c r="W243" s="355"/>
      <c r="X243" s="356"/>
      <c r="Y243" s="154"/>
      <c r="Z243" s="147"/>
      <c r="AA243" s="147"/>
      <c r="AB243" s="148"/>
      <c r="AC243" s="819"/>
      <c r="AD243" s="820"/>
      <c r="AE243" s="820"/>
      <c r="AF243" s="821"/>
      <c r="AG243" s="109"/>
      <c r="AH243" s="109"/>
      <c r="AI243" s="109" t="str">
        <f>"26:"&amp;IF(AND(I243="□",M243="□",Q243="□",U243="□"),"ketu_doctor_code:0",IF(I243="■","ketu_doctor_code:1:ketu_kangos_code:1:ketu_kshoku_code:1",
IF(M243="■","ketu_doctor_code:2","ketu_doctor_code:1")
&amp;IF(Q243="■",":ketu_kangos_code:2",":ketu_kangos_code:1")
&amp;IF(U243="■",":ketu_kshoku_code:2",":ketu_kshoku_code:1")))</f>
        <v>26:ketu_doctor_code:0</v>
      </c>
      <c r="AJ243" s="109"/>
    </row>
    <row r="244" spans="1:36" ht="18.75" customHeight="1" x14ac:dyDescent="0.2">
      <c r="A244" s="139"/>
      <c r="B244" s="123"/>
      <c r="C244" s="140"/>
      <c r="D244" s="141"/>
      <c r="E244" s="128"/>
      <c r="F244" s="142"/>
      <c r="G244" s="128"/>
      <c r="H244" s="364" t="s">
        <v>98</v>
      </c>
      <c r="I244" s="374" t="s">
        <v>383</v>
      </c>
      <c r="J244" s="350" t="s">
        <v>265</v>
      </c>
      <c r="K244" s="351"/>
      <c r="L244" s="352"/>
      <c r="M244" s="353" t="s">
        <v>383</v>
      </c>
      <c r="N244" s="350" t="s">
        <v>266</v>
      </c>
      <c r="O244" s="355"/>
      <c r="P244" s="355"/>
      <c r="Q244" s="355"/>
      <c r="R244" s="355"/>
      <c r="S244" s="355"/>
      <c r="T244" s="355"/>
      <c r="U244" s="355"/>
      <c r="V244" s="355"/>
      <c r="W244" s="355"/>
      <c r="X244" s="356"/>
      <c r="Y244" s="154"/>
      <c r="Z244" s="147"/>
      <c r="AA244" s="147"/>
      <c r="AB244" s="148"/>
      <c r="AC244" s="819"/>
      <c r="AD244" s="820"/>
      <c r="AE244" s="820"/>
      <c r="AF244" s="821"/>
      <c r="AG244" s="109"/>
      <c r="AH244" s="109"/>
      <c r="AI244" s="109" t="str">
        <f>"26:unitcare_code:" &amp; IF(I244="■",1,IF(M244="■",2,0))</f>
        <v>26:unitcare_code:0</v>
      </c>
      <c r="AJ244" s="109"/>
    </row>
    <row r="245" spans="1:36" s="109" customFormat="1" ht="18.75" customHeight="1" x14ac:dyDescent="0.2">
      <c r="A245" s="139"/>
      <c r="B245" s="123"/>
      <c r="C245" s="248"/>
      <c r="D245" s="249"/>
      <c r="E245" s="128"/>
      <c r="F245" s="142"/>
      <c r="G245" s="143"/>
      <c r="H245" s="364" t="s">
        <v>107</v>
      </c>
      <c r="I245" s="349" t="s">
        <v>383</v>
      </c>
      <c r="J245" s="350" t="s">
        <v>395</v>
      </c>
      <c r="K245" s="351"/>
      <c r="L245" s="352"/>
      <c r="M245" s="353" t="s">
        <v>383</v>
      </c>
      <c r="N245" s="350" t="s">
        <v>396</v>
      </c>
      <c r="O245" s="351"/>
      <c r="P245" s="351"/>
      <c r="Q245" s="351"/>
      <c r="R245" s="351"/>
      <c r="S245" s="351"/>
      <c r="T245" s="351"/>
      <c r="U245" s="351"/>
      <c r="V245" s="351"/>
      <c r="W245" s="351"/>
      <c r="X245" s="365"/>
      <c r="Y245" s="154"/>
      <c r="Z245" s="147"/>
      <c r="AA245" s="147"/>
      <c r="AB245" s="148"/>
      <c r="AC245" s="819"/>
      <c r="AD245" s="820"/>
      <c r="AE245" s="820"/>
      <c r="AF245" s="821"/>
      <c r="AI245" s="109" t="str">
        <f>"26:sintaikousoku_code:" &amp; IF(I245="■",1,IF(M245="■",2,0))</f>
        <v>26:sintaikousoku_code:0</v>
      </c>
    </row>
    <row r="246" spans="1:36" ht="19.5" customHeight="1" x14ac:dyDescent="0.2">
      <c r="A246" s="139"/>
      <c r="B246" s="123"/>
      <c r="C246" s="140"/>
      <c r="D246" s="141"/>
      <c r="E246" s="128"/>
      <c r="F246" s="142"/>
      <c r="G246" s="143"/>
      <c r="H246" s="348" t="s">
        <v>430</v>
      </c>
      <c r="I246" s="374" t="s">
        <v>383</v>
      </c>
      <c r="J246" s="350" t="s">
        <v>395</v>
      </c>
      <c r="K246" s="351"/>
      <c r="L246" s="352"/>
      <c r="M246" s="353" t="s">
        <v>383</v>
      </c>
      <c r="N246" s="350" t="s">
        <v>431</v>
      </c>
      <c r="O246" s="350"/>
      <c r="P246" s="350"/>
      <c r="Q246" s="355"/>
      <c r="R246" s="355"/>
      <c r="S246" s="355"/>
      <c r="T246" s="355"/>
      <c r="U246" s="355"/>
      <c r="V246" s="355"/>
      <c r="W246" s="355"/>
      <c r="X246" s="356"/>
      <c r="Y246" s="147"/>
      <c r="Z246" s="147"/>
      <c r="AA246" s="147"/>
      <c r="AB246" s="148"/>
      <c r="AC246" s="819"/>
      <c r="AD246" s="820"/>
      <c r="AE246" s="820"/>
      <c r="AF246" s="821"/>
      <c r="AG246" s="109"/>
      <c r="AH246" s="109"/>
      <c r="AI246" s="109" t="str">
        <f>"26:field223:" &amp; IF(I246="■",1,IF(M246="■",2,0))</f>
        <v>26:field223:0</v>
      </c>
      <c r="AJ246" s="109"/>
    </row>
    <row r="247" spans="1:36" ht="19.5" customHeight="1" x14ac:dyDescent="0.2">
      <c r="A247" s="139"/>
      <c r="B247" s="123"/>
      <c r="C247" s="140"/>
      <c r="D247" s="141"/>
      <c r="E247" s="128"/>
      <c r="F247" s="142"/>
      <c r="G247" s="143"/>
      <c r="H247" s="348" t="s">
        <v>448</v>
      </c>
      <c r="I247" s="374" t="s">
        <v>383</v>
      </c>
      <c r="J247" s="381" t="s">
        <v>395</v>
      </c>
      <c r="K247" s="419"/>
      <c r="L247" s="382"/>
      <c r="M247" s="383" t="s">
        <v>383</v>
      </c>
      <c r="N247" s="381" t="s">
        <v>431</v>
      </c>
      <c r="O247" s="381"/>
      <c r="P247" s="381"/>
      <c r="Q247" s="436"/>
      <c r="R247" s="436"/>
      <c r="S247" s="436"/>
      <c r="T247" s="436"/>
      <c r="U247" s="436"/>
      <c r="V247" s="436"/>
      <c r="W247" s="436"/>
      <c r="X247" s="437"/>
      <c r="Y247" s="147"/>
      <c r="Z247" s="126"/>
      <c r="AA247" s="147"/>
      <c r="AB247" s="148"/>
      <c r="AC247" s="819"/>
      <c r="AD247" s="820"/>
      <c r="AE247" s="820"/>
      <c r="AF247" s="821"/>
      <c r="AG247" s="109"/>
      <c r="AH247" s="109"/>
      <c r="AI247" s="109" t="str">
        <f>"26:field232:" &amp; IF(I247="■",1,IF(M247="■",2,0))</f>
        <v>26:field232:0</v>
      </c>
      <c r="AJ247" s="109"/>
    </row>
    <row r="248" spans="1:36" ht="18.75" customHeight="1" x14ac:dyDescent="0.2">
      <c r="A248" s="139"/>
      <c r="B248" s="123"/>
      <c r="C248" s="140"/>
      <c r="D248" s="141"/>
      <c r="E248" s="128"/>
      <c r="F248" s="142"/>
      <c r="G248" s="128"/>
      <c r="H248" s="364" t="s">
        <v>492</v>
      </c>
      <c r="I248" s="374" t="s">
        <v>383</v>
      </c>
      <c r="J248" s="350" t="s">
        <v>300</v>
      </c>
      <c r="K248" s="351"/>
      <c r="L248" s="352"/>
      <c r="M248" s="353" t="s">
        <v>383</v>
      </c>
      <c r="N248" s="350" t="s">
        <v>332</v>
      </c>
      <c r="O248" s="420"/>
      <c r="P248" s="420"/>
      <c r="Q248" s="420"/>
      <c r="R248" s="420"/>
      <c r="S248" s="420"/>
      <c r="T248" s="420"/>
      <c r="U248" s="420"/>
      <c r="V248" s="420"/>
      <c r="W248" s="420"/>
      <c r="X248" s="440"/>
      <c r="Y248" s="154"/>
      <c r="Z248" s="147"/>
      <c r="AA248" s="147"/>
      <c r="AB248" s="148"/>
      <c r="AC248" s="819"/>
      <c r="AD248" s="820"/>
      <c r="AE248" s="820"/>
      <c r="AF248" s="821"/>
      <c r="AG248" s="109"/>
      <c r="AH248" s="109"/>
      <c r="AI248" s="109" t="str">
        <f>"26:ryokan_code:" &amp; IF(I248="■",1,IF(M248="■",2,0))</f>
        <v>26:ryokan_code:0</v>
      </c>
      <c r="AJ248" s="109"/>
    </row>
    <row r="249" spans="1:36" ht="18.75" customHeight="1" x14ac:dyDescent="0.2">
      <c r="A249" s="139"/>
      <c r="B249" s="123"/>
      <c r="C249" s="140"/>
      <c r="D249" s="141"/>
      <c r="E249" s="128"/>
      <c r="F249" s="142"/>
      <c r="G249" s="128"/>
      <c r="H249" s="364" t="s">
        <v>101</v>
      </c>
      <c r="I249" s="374" t="s">
        <v>383</v>
      </c>
      <c r="J249" s="350" t="s">
        <v>428</v>
      </c>
      <c r="K249" s="351"/>
      <c r="L249" s="352"/>
      <c r="M249" s="353" t="s">
        <v>383</v>
      </c>
      <c r="N249" s="350" t="s">
        <v>333</v>
      </c>
      <c r="O249" s="355"/>
      <c r="P249" s="355"/>
      <c r="Q249" s="355"/>
      <c r="R249" s="420"/>
      <c r="S249" s="355"/>
      <c r="T249" s="355"/>
      <c r="U249" s="355"/>
      <c r="V249" s="355"/>
      <c r="W249" s="355"/>
      <c r="X249" s="356"/>
      <c r="Y249" s="154"/>
      <c r="Z249" s="147"/>
      <c r="AA249" s="147"/>
      <c r="AB249" s="148"/>
      <c r="AC249" s="819"/>
      <c r="AD249" s="820"/>
      <c r="AE249" s="820"/>
      <c r="AF249" s="821"/>
      <c r="AG249" s="109"/>
      <c r="AH249" s="109"/>
      <c r="AI249" s="109" t="str">
        <f>"26:doctor_haiti_code:" &amp; IF(I249="■",1,IF(M249="■",2,0))</f>
        <v>26:doctor_haiti_code:0</v>
      </c>
      <c r="AJ249" s="109"/>
    </row>
    <row r="250" spans="1:36" ht="18.75" customHeight="1" x14ac:dyDescent="0.2">
      <c r="A250" s="139"/>
      <c r="B250" s="123"/>
      <c r="C250" s="140"/>
      <c r="D250" s="141"/>
      <c r="E250" s="128"/>
      <c r="F250" s="125" t="s">
        <v>383</v>
      </c>
      <c r="G250" s="128" t="s">
        <v>351</v>
      </c>
      <c r="H250" s="364" t="s">
        <v>486</v>
      </c>
      <c r="I250" s="374" t="s">
        <v>383</v>
      </c>
      <c r="J250" s="350" t="s">
        <v>250</v>
      </c>
      <c r="K250" s="351"/>
      <c r="L250" s="353" t="s">
        <v>383</v>
      </c>
      <c r="M250" s="350" t="s">
        <v>267</v>
      </c>
      <c r="N250" s="355"/>
      <c r="O250" s="355"/>
      <c r="P250" s="355"/>
      <c r="Q250" s="355"/>
      <c r="R250" s="355"/>
      <c r="S250" s="355"/>
      <c r="T250" s="355"/>
      <c r="U250" s="355"/>
      <c r="V250" s="355"/>
      <c r="W250" s="355"/>
      <c r="X250" s="356"/>
      <c r="Y250" s="154"/>
      <c r="Z250" s="147"/>
      <c r="AA250" s="147"/>
      <c r="AB250" s="148"/>
      <c r="AC250" s="819"/>
      <c r="AD250" s="820"/>
      <c r="AE250" s="820"/>
      <c r="AF250" s="821"/>
      <c r="AG250" s="109"/>
      <c r="AH250" s="109"/>
      <c r="AI250" s="109" t="str">
        <f>"26:jyakuninti_uke_code:" &amp; IF(I250="■",1,IF(L250="■",2,0))</f>
        <v>26:jyakuninti_uke_code:0</v>
      </c>
      <c r="AJ250" s="109"/>
    </row>
    <row r="251" spans="1:36" ht="18.75" customHeight="1" x14ac:dyDescent="0.2">
      <c r="A251" s="139"/>
      <c r="B251" s="123"/>
      <c r="C251" s="140"/>
      <c r="D251" s="141"/>
      <c r="E251" s="128"/>
      <c r="F251" s="142"/>
      <c r="G251" s="128" t="s">
        <v>352</v>
      </c>
      <c r="H251" s="364" t="s">
        <v>95</v>
      </c>
      <c r="I251" s="374" t="s">
        <v>383</v>
      </c>
      <c r="J251" s="350" t="s">
        <v>265</v>
      </c>
      <c r="K251" s="351"/>
      <c r="L251" s="352"/>
      <c r="M251" s="353" t="s">
        <v>383</v>
      </c>
      <c r="N251" s="350" t="s">
        <v>266</v>
      </c>
      <c r="O251" s="355"/>
      <c r="P251" s="355"/>
      <c r="Q251" s="355"/>
      <c r="R251" s="355"/>
      <c r="S251" s="355"/>
      <c r="T251" s="355"/>
      <c r="U251" s="355"/>
      <c r="V251" s="355"/>
      <c r="W251" s="355"/>
      <c r="X251" s="356"/>
      <c r="Y251" s="154"/>
      <c r="Z251" s="147"/>
      <c r="AA251" s="147"/>
      <c r="AB251" s="148"/>
      <c r="AC251" s="819"/>
      <c r="AD251" s="820"/>
      <c r="AE251" s="820"/>
      <c r="AF251" s="821"/>
      <c r="AG251" s="109"/>
      <c r="AH251" s="109"/>
      <c r="AI251" s="109" t="str">
        <f>"26:sougei_code:" &amp; IF(I251="■",1,IF(M251="■",2,0))</f>
        <v>26:sougei_code:0</v>
      </c>
      <c r="AJ251" s="109"/>
    </row>
    <row r="252" spans="1:36" ht="19.5" customHeight="1" x14ac:dyDescent="0.2">
      <c r="A252" s="125" t="s">
        <v>383</v>
      </c>
      <c r="B252" s="123">
        <v>26</v>
      </c>
      <c r="C252" s="140" t="s">
        <v>489</v>
      </c>
      <c r="D252" s="125" t="s">
        <v>421</v>
      </c>
      <c r="E252" s="128" t="s">
        <v>494</v>
      </c>
      <c r="F252" s="125" t="s">
        <v>383</v>
      </c>
      <c r="G252" s="128" t="s">
        <v>353</v>
      </c>
      <c r="H252" s="348" t="s">
        <v>433</v>
      </c>
      <c r="I252" s="374" t="s">
        <v>383</v>
      </c>
      <c r="J252" s="350" t="s">
        <v>250</v>
      </c>
      <c r="K252" s="350"/>
      <c r="L252" s="353" t="s">
        <v>383</v>
      </c>
      <c r="M252" s="350" t="s">
        <v>267</v>
      </c>
      <c r="N252" s="350"/>
      <c r="O252" s="355"/>
      <c r="P252" s="350"/>
      <c r="Q252" s="355"/>
      <c r="R252" s="355"/>
      <c r="S252" s="355"/>
      <c r="T252" s="355"/>
      <c r="U252" s="355"/>
      <c r="V252" s="355"/>
      <c r="W252" s="355"/>
      <c r="X252" s="356"/>
      <c r="Y252" s="147"/>
      <c r="Z252" s="147"/>
      <c r="AA252" s="147"/>
      <c r="AB252" s="148"/>
      <c r="AC252" s="819"/>
      <c r="AD252" s="820"/>
      <c r="AE252" s="820"/>
      <c r="AF252" s="821"/>
      <c r="AG252" s="109"/>
      <c r="AH252" s="109"/>
      <c r="AI252" s="109" t="str">
        <f>"26:field224:" &amp; IF(I252="■",1,IF(L252="■",2,0))</f>
        <v>26:field224:0</v>
      </c>
      <c r="AJ252" s="109"/>
    </row>
    <row r="253" spans="1:36" ht="18.75" customHeight="1" x14ac:dyDescent="0.2">
      <c r="A253" s="139"/>
      <c r="B253" s="123"/>
      <c r="C253" s="140"/>
      <c r="D253" s="141"/>
      <c r="E253" s="128"/>
      <c r="F253" s="142"/>
      <c r="G253" s="128" t="s">
        <v>354</v>
      </c>
      <c r="H253" s="364" t="s">
        <v>112</v>
      </c>
      <c r="I253" s="374" t="s">
        <v>383</v>
      </c>
      <c r="J253" s="350" t="s">
        <v>250</v>
      </c>
      <c r="K253" s="351"/>
      <c r="L253" s="353" t="s">
        <v>383</v>
      </c>
      <c r="M253" s="350" t="s">
        <v>267</v>
      </c>
      <c r="N253" s="355"/>
      <c r="O253" s="355"/>
      <c r="P253" s="355"/>
      <c r="Q253" s="355"/>
      <c r="R253" s="355"/>
      <c r="S253" s="355"/>
      <c r="T253" s="355"/>
      <c r="U253" s="355"/>
      <c r="V253" s="355"/>
      <c r="W253" s="355"/>
      <c r="X253" s="356"/>
      <c r="Y253" s="154"/>
      <c r="Z253" s="147"/>
      <c r="AA253" s="147"/>
      <c r="AB253" s="148"/>
      <c r="AC253" s="819"/>
      <c r="AD253" s="820"/>
      <c r="AE253" s="820"/>
      <c r="AF253" s="821"/>
      <c r="AG253" s="109"/>
      <c r="AH253" s="109"/>
      <c r="AI253" s="109" t="str">
        <f>"26:ryouyoushoku_code:" &amp; IF(I253="■",1,IF(L253="■",2,0))</f>
        <v>26:ryouyoushoku_code:0</v>
      </c>
      <c r="AJ253" s="109"/>
    </row>
    <row r="254" spans="1:36" ht="18.75" customHeight="1" x14ac:dyDescent="0.2">
      <c r="A254" s="139"/>
      <c r="B254" s="123"/>
      <c r="C254" s="140"/>
      <c r="D254" s="141"/>
      <c r="E254" s="128"/>
      <c r="F254" s="125" t="s">
        <v>383</v>
      </c>
      <c r="G254" s="128" t="s">
        <v>355</v>
      </c>
      <c r="H254" s="364" t="s">
        <v>184</v>
      </c>
      <c r="I254" s="374" t="s">
        <v>383</v>
      </c>
      <c r="J254" s="350" t="s">
        <v>250</v>
      </c>
      <c r="K254" s="350"/>
      <c r="L254" s="353" t="s">
        <v>383</v>
      </c>
      <c r="M254" s="350" t="s">
        <v>251</v>
      </c>
      <c r="N254" s="350"/>
      <c r="O254" s="353" t="s">
        <v>383</v>
      </c>
      <c r="P254" s="350" t="s">
        <v>252</v>
      </c>
      <c r="Q254" s="355"/>
      <c r="R254" s="355"/>
      <c r="S254" s="355"/>
      <c r="T254" s="355"/>
      <c r="U254" s="355"/>
      <c r="V254" s="355"/>
      <c r="W254" s="355"/>
      <c r="X254" s="356"/>
      <c r="Y254" s="154"/>
      <c r="Z254" s="147"/>
      <c r="AA254" s="147"/>
      <c r="AB254" s="148"/>
      <c r="AC254" s="819"/>
      <c r="AD254" s="820"/>
      <c r="AE254" s="820"/>
      <c r="AF254" s="821"/>
      <c r="AG254" s="109"/>
      <c r="AH254" s="109"/>
      <c r="AI254" s="109" t="str">
        <f>"26:ninti_senmoncare_code:" &amp; IF(I254="■",1,IF(O254="■",3,IF(L254="■",2,0)))</f>
        <v>26:ninti_senmoncare_code:0</v>
      </c>
      <c r="AJ254" s="109"/>
    </row>
    <row r="255" spans="1:36" ht="18.75" customHeight="1" x14ac:dyDescent="0.2">
      <c r="A255" s="139"/>
      <c r="B255" s="123"/>
      <c r="C255" s="140"/>
      <c r="D255" s="141"/>
      <c r="E255" s="128"/>
      <c r="F255" s="142"/>
      <c r="G255" s="128" t="s">
        <v>356</v>
      </c>
      <c r="H255" s="832" t="s">
        <v>102</v>
      </c>
      <c r="I255" s="374" t="s">
        <v>383</v>
      </c>
      <c r="J255" s="375" t="s">
        <v>320</v>
      </c>
      <c r="K255" s="375"/>
      <c r="L255" s="410"/>
      <c r="M255" s="410"/>
      <c r="N255" s="410"/>
      <c r="O255" s="410"/>
      <c r="P255" s="377" t="s">
        <v>383</v>
      </c>
      <c r="Q255" s="375" t="s">
        <v>321</v>
      </c>
      <c r="R255" s="410"/>
      <c r="S255" s="410"/>
      <c r="T255" s="410"/>
      <c r="U255" s="410"/>
      <c r="V255" s="410"/>
      <c r="W255" s="410"/>
      <c r="X255" s="411"/>
      <c r="Y255" s="154"/>
      <c r="Z255" s="147"/>
      <c r="AA255" s="147"/>
      <c r="AB255" s="148"/>
      <c r="AC255" s="819"/>
      <c r="AD255" s="820"/>
      <c r="AE255" s="820"/>
      <c r="AF255" s="821"/>
      <c r="AI255" s="109" t="str">
        <f>"26:" &amp; IF(AND(I255="□",P255="□",I256="□"),"tokusin_jyusho_code:0:tokusin_yakuzai_code:0:shuudan_comu_code:0",IF(I255="■","tokusin_jyusho_code:2","tokusin_jyusho_code:1")
&amp;IF(P255="■",":tokusin_yakuzai_code:2",":tokusin_yakuzai_code:1")
&amp;IF(I256="■",":shuudan_comu_code:2",":shuudan_comu_code:1"))</f>
        <v>26:tokusin_jyusho_code:0:tokusin_yakuzai_code:0:shuudan_comu_code:0</v>
      </c>
    </row>
    <row r="256" spans="1:36" ht="18.75" customHeight="1" x14ac:dyDescent="0.2">
      <c r="A256" s="139"/>
      <c r="B256" s="123"/>
      <c r="C256" s="140"/>
      <c r="D256" s="139"/>
      <c r="E256" s="128"/>
      <c r="F256" s="139"/>
      <c r="G256" s="128"/>
      <c r="H256" s="832"/>
      <c r="I256" s="460" t="s">
        <v>383</v>
      </c>
      <c r="J256" s="381" t="s">
        <v>334</v>
      </c>
      <c r="K256" s="436"/>
      <c r="L256" s="436"/>
      <c r="M256" s="436"/>
      <c r="N256" s="436"/>
      <c r="O256" s="436"/>
      <c r="P256" s="436"/>
      <c r="Q256" s="384"/>
      <c r="R256" s="436"/>
      <c r="S256" s="436"/>
      <c r="T256" s="436"/>
      <c r="U256" s="436"/>
      <c r="V256" s="436"/>
      <c r="W256" s="436"/>
      <c r="X256" s="437"/>
      <c r="Y256" s="154"/>
      <c r="Z256" s="147"/>
      <c r="AA256" s="147"/>
      <c r="AB256" s="148"/>
      <c r="AC256" s="819"/>
      <c r="AD256" s="820"/>
      <c r="AE256" s="820"/>
      <c r="AF256" s="821"/>
    </row>
    <row r="257" spans="1:36" ht="18.75" customHeight="1" x14ac:dyDescent="0.2">
      <c r="A257" s="139"/>
      <c r="B257" s="123"/>
      <c r="C257" s="140"/>
      <c r="D257" s="141"/>
      <c r="E257" s="128"/>
      <c r="F257" s="139"/>
      <c r="G257" s="128"/>
      <c r="H257" s="435" t="s">
        <v>442</v>
      </c>
      <c r="I257" s="374" t="s">
        <v>383</v>
      </c>
      <c r="J257" s="350" t="s">
        <v>250</v>
      </c>
      <c r="K257" s="350"/>
      <c r="L257" s="353" t="s">
        <v>383</v>
      </c>
      <c r="M257" s="350" t="s">
        <v>251</v>
      </c>
      <c r="N257" s="350"/>
      <c r="O257" s="353" t="s">
        <v>383</v>
      </c>
      <c r="P257" s="350" t="s">
        <v>252</v>
      </c>
      <c r="Q257" s="355"/>
      <c r="R257" s="355"/>
      <c r="S257" s="355"/>
      <c r="T257" s="355"/>
      <c r="U257" s="410"/>
      <c r="V257" s="410"/>
      <c r="W257" s="410"/>
      <c r="X257" s="411"/>
      <c r="Y257" s="154"/>
      <c r="Z257" s="147"/>
      <c r="AA257" s="147"/>
      <c r="AB257" s="148"/>
      <c r="AC257" s="819"/>
      <c r="AD257" s="820"/>
      <c r="AE257" s="820"/>
      <c r="AF257" s="821"/>
      <c r="AI257" s="109" t="str">
        <f>"26:field225:" &amp; IF(I257="■",1,IF(L257="■",2,IF(O257="■",3,0)))</f>
        <v>26:field225:0</v>
      </c>
    </row>
    <row r="258" spans="1:36" ht="18.75" customHeight="1" x14ac:dyDescent="0.2">
      <c r="A258" s="139"/>
      <c r="B258" s="123"/>
      <c r="C258" s="140"/>
      <c r="D258" s="141"/>
      <c r="E258" s="128"/>
      <c r="F258" s="139"/>
      <c r="G258" s="128"/>
      <c r="H258" s="832" t="s">
        <v>103</v>
      </c>
      <c r="I258" s="374" t="s">
        <v>383</v>
      </c>
      <c r="J258" s="375" t="s">
        <v>335</v>
      </c>
      <c r="K258" s="438"/>
      <c r="L258" s="376"/>
      <c r="M258" s="377" t="s">
        <v>383</v>
      </c>
      <c r="N258" s="375" t="s">
        <v>336</v>
      </c>
      <c r="O258" s="410"/>
      <c r="P258" s="410"/>
      <c r="Q258" s="377" t="s">
        <v>383</v>
      </c>
      <c r="R258" s="375" t="s">
        <v>337</v>
      </c>
      <c r="S258" s="410"/>
      <c r="T258" s="410"/>
      <c r="U258" s="410"/>
      <c r="V258" s="410"/>
      <c r="W258" s="410"/>
      <c r="X258" s="411"/>
      <c r="Y258" s="154"/>
      <c r="Z258" s="147"/>
      <c r="AA258" s="147"/>
      <c r="AB258" s="148"/>
      <c r="AC258" s="819"/>
      <c r="AD258" s="820"/>
      <c r="AE258" s="820"/>
      <c r="AF258" s="821"/>
      <c r="AI258" s="109" t="str">
        <f>"26:"&amp;IF(AND(I258="□",M258="□",Q258="□",I259="□",Q259="□"),"koriha_rryoho1_code:0:koriha_sryoho_code:0:koriha_gengo_code:0:riha_seisin_code:0:koriha_other_code:0",IF(I258="■","koriha_rryoho1_code:2","koriha_rryoho1_code:1")
&amp;IF(M258="■",":koriha_sryoho_code:2",":koriha_sryoho_code:1")
&amp;IF(Q258="■",":koriha_gengo_code:2",":koriha_gengo_code:1")
&amp;IF(I259="■",":riha_seisin_code:2",":riha_seisin_code:1")
&amp;IF(Q259="■",":koriha_other_code:2",":koriha_other_code:1"))</f>
        <v>26:koriha_rryoho1_code:0:koriha_sryoho_code:0:koriha_gengo_code:0:riha_seisin_code:0:koriha_other_code:0</v>
      </c>
    </row>
    <row r="259" spans="1:36" ht="18.75" customHeight="1" x14ac:dyDescent="0.2">
      <c r="A259" s="139"/>
      <c r="B259" s="123"/>
      <c r="C259" s="140"/>
      <c r="D259" s="141"/>
      <c r="E259" s="128"/>
      <c r="F259" s="139"/>
      <c r="G259" s="128"/>
      <c r="H259" s="832"/>
      <c r="I259" s="460" t="s">
        <v>383</v>
      </c>
      <c r="J259" s="381" t="s">
        <v>338</v>
      </c>
      <c r="K259" s="436"/>
      <c r="L259" s="436"/>
      <c r="M259" s="436"/>
      <c r="N259" s="436"/>
      <c r="O259" s="436"/>
      <c r="P259" s="436"/>
      <c r="Q259" s="383" t="s">
        <v>383</v>
      </c>
      <c r="R259" s="381" t="s">
        <v>339</v>
      </c>
      <c r="S259" s="384"/>
      <c r="T259" s="436"/>
      <c r="U259" s="436"/>
      <c r="V259" s="436"/>
      <c r="W259" s="436"/>
      <c r="X259" s="437"/>
      <c r="Y259" s="154"/>
      <c r="Z259" s="147"/>
      <c r="AA259" s="147"/>
      <c r="AB259" s="148"/>
      <c r="AC259" s="819"/>
      <c r="AD259" s="820"/>
      <c r="AE259" s="820"/>
      <c r="AF259" s="821"/>
      <c r="AI259" s="109"/>
    </row>
    <row r="260" spans="1:36" ht="18.75" customHeight="1" x14ac:dyDescent="0.2">
      <c r="A260" s="139"/>
      <c r="B260" s="123"/>
      <c r="C260" s="140"/>
      <c r="D260" s="141"/>
      <c r="E260" s="128"/>
      <c r="F260" s="142"/>
      <c r="G260" s="128"/>
      <c r="H260" s="364" t="s">
        <v>118</v>
      </c>
      <c r="I260" s="374" t="s">
        <v>383</v>
      </c>
      <c r="J260" s="350" t="s">
        <v>250</v>
      </c>
      <c r="K260" s="350"/>
      <c r="L260" s="353" t="s">
        <v>383</v>
      </c>
      <c r="M260" s="350" t="s">
        <v>258</v>
      </c>
      <c r="N260" s="350"/>
      <c r="O260" s="353" t="s">
        <v>383</v>
      </c>
      <c r="P260" s="350" t="s">
        <v>259</v>
      </c>
      <c r="Q260" s="420"/>
      <c r="R260" s="353" t="s">
        <v>383</v>
      </c>
      <c r="S260" s="350" t="s">
        <v>283</v>
      </c>
      <c r="T260" s="420"/>
      <c r="U260" s="420"/>
      <c r="V260" s="420"/>
      <c r="W260" s="420"/>
      <c r="X260" s="440"/>
      <c r="Y260" s="154"/>
      <c r="Z260" s="147"/>
      <c r="AA260" s="147"/>
      <c r="AB260" s="148"/>
      <c r="AC260" s="819"/>
      <c r="AD260" s="820"/>
      <c r="AE260" s="820"/>
      <c r="AF260" s="821"/>
      <c r="AI260" s="109" t="str">
        <f>"26:serteikyo_kyoka_code:" &amp; IF(I260="■",1,IF(L260="■",6,IF(O260="■",5,IF(R260="■",7,0))))</f>
        <v>26:serteikyo_kyoka_code:0</v>
      </c>
    </row>
    <row r="261" spans="1:36" ht="18.75" customHeight="1" x14ac:dyDescent="0.2">
      <c r="A261" s="139"/>
      <c r="B261" s="123"/>
      <c r="C261" s="140"/>
      <c r="D261" s="141"/>
      <c r="E261" s="128"/>
      <c r="F261" s="142"/>
      <c r="G261" s="128"/>
      <c r="H261" s="713" t="s">
        <v>805</v>
      </c>
      <c r="I261" s="747" t="s">
        <v>383</v>
      </c>
      <c r="J261" s="746" t="s">
        <v>250</v>
      </c>
      <c r="K261" s="746"/>
      <c r="L261" s="747" t="s">
        <v>383</v>
      </c>
      <c r="M261" s="746" t="s">
        <v>267</v>
      </c>
      <c r="N261" s="746"/>
      <c r="O261" s="378"/>
      <c r="P261" s="378"/>
      <c r="Q261" s="378"/>
      <c r="R261" s="378"/>
      <c r="S261" s="378"/>
      <c r="T261" s="378"/>
      <c r="U261" s="378"/>
      <c r="V261" s="378"/>
      <c r="W261" s="378"/>
      <c r="X261" s="379"/>
      <c r="Y261" s="154"/>
      <c r="Z261" s="147"/>
      <c r="AA261" s="147"/>
      <c r="AB261" s="148"/>
      <c r="AC261" s="819"/>
      <c r="AD261" s="820"/>
      <c r="AE261" s="820"/>
      <c r="AF261" s="821"/>
      <c r="AI261" s="109" t="str">
        <f>"26:field221:" &amp; IF(I261="■",1,IF(L261="■",2,0))</f>
        <v>26:field221:0</v>
      </c>
    </row>
    <row r="262" spans="1:36" ht="18.75" customHeight="1" x14ac:dyDescent="0.2">
      <c r="A262" s="139"/>
      <c r="B262" s="123"/>
      <c r="C262" s="140"/>
      <c r="D262" s="141"/>
      <c r="E262" s="128"/>
      <c r="F262" s="142"/>
      <c r="G262" s="128"/>
      <c r="H262" s="737"/>
      <c r="I262" s="747"/>
      <c r="J262" s="746"/>
      <c r="K262" s="746"/>
      <c r="L262" s="747"/>
      <c r="M262" s="746"/>
      <c r="N262" s="746"/>
      <c r="O262" s="384"/>
      <c r="P262" s="384"/>
      <c r="Q262" s="384"/>
      <c r="R262" s="384"/>
      <c r="S262" s="384"/>
      <c r="T262" s="384"/>
      <c r="U262" s="384"/>
      <c r="V262" s="384"/>
      <c r="W262" s="384"/>
      <c r="X262" s="385"/>
      <c r="Y262" s="154"/>
      <c r="Z262" s="147"/>
      <c r="AA262" s="147"/>
      <c r="AB262" s="148"/>
      <c r="AC262" s="819"/>
      <c r="AD262" s="820"/>
      <c r="AE262" s="820"/>
      <c r="AF262" s="821"/>
    </row>
    <row r="263" spans="1:36" s="621" customFormat="1" ht="19.8" customHeight="1" x14ac:dyDescent="0.2">
      <c r="A263" s="139"/>
      <c r="B263" s="670"/>
      <c r="C263" s="140"/>
      <c r="D263" s="141"/>
      <c r="E263" s="128"/>
      <c r="F263" s="142"/>
      <c r="G263" s="143"/>
      <c r="H263" s="713" t="s">
        <v>790</v>
      </c>
      <c r="I263" s="642" t="s">
        <v>383</v>
      </c>
      <c r="J263" s="616" t="s">
        <v>627</v>
      </c>
      <c r="K263" s="616"/>
      <c r="L263" s="615"/>
      <c r="M263" s="644" t="s">
        <v>383</v>
      </c>
      <c r="N263" s="616" t="s">
        <v>791</v>
      </c>
      <c r="O263" s="617"/>
      <c r="P263" s="615"/>
      <c r="Q263" s="644" t="s">
        <v>383</v>
      </c>
      <c r="R263" s="618" t="s">
        <v>792</v>
      </c>
      <c r="S263" s="615"/>
      <c r="T263" s="615"/>
      <c r="U263" s="615"/>
      <c r="V263" s="618"/>
      <c r="W263" s="619"/>
      <c r="X263" s="620"/>
      <c r="Y263" s="154"/>
      <c r="Z263" s="147"/>
      <c r="AA263" s="147"/>
      <c r="AB263" s="148"/>
      <c r="AC263" s="819"/>
      <c r="AD263" s="820"/>
      <c r="AE263" s="820"/>
      <c r="AF263" s="821"/>
    </row>
    <row r="264" spans="1:36" s="621" customFormat="1" ht="21" customHeight="1" x14ac:dyDescent="0.2">
      <c r="A264" s="139"/>
      <c r="B264" s="670"/>
      <c r="C264" s="140"/>
      <c r="D264" s="141"/>
      <c r="E264" s="128"/>
      <c r="F264" s="142"/>
      <c r="G264" s="143"/>
      <c r="H264" s="714"/>
      <c r="I264" s="645" t="s">
        <v>383</v>
      </c>
      <c r="J264" s="623" t="s">
        <v>793</v>
      </c>
      <c r="K264" s="623"/>
      <c r="L264" s="622"/>
      <c r="M264" s="645" t="s">
        <v>383</v>
      </c>
      <c r="N264" s="623" t="s">
        <v>794</v>
      </c>
      <c r="O264" s="624"/>
      <c r="P264" s="622"/>
      <c r="Q264" s="645" t="s">
        <v>383</v>
      </c>
      <c r="R264" s="623" t="s">
        <v>795</v>
      </c>
      <c r="S264" s="622"/>
      <c r="T264" s="623"/>
      <c r="U264" s="645" t="s">
        <v>383</v>
      </c>
      <c r="V264" s="623" t="s">
        <v>796</v>
      </c>
      <c r="W264" s="625"/>
      <c r="X264" s="626"/>
      <c r="Y264" s="154"/>
      <c r="Z264" s="147"/>
      <c r="AA264" s="147"/>
      <c r="AB264" s="148"/>
      <c r="AC264" s="819"/>
      <c r="AD264" s="820"/>
      <c r="AE264" s="820"/>
      <c r="AF264" s="821"/>
    </row>
    <row r="265" spans="1:36" ht="18.75" customHeight="1" x14ac:dyDescent="0.2">
      <c r="A265" s="129"/>
      <c r="B265" s="116"/>
      <c r="C265" s="130"/>
      <c r="D265" s="131"/>
      <c r="E265" s="121"/>
      <c r="F265" s="132"/>
      <c r="G265" s="121"/>
      <c r="H265" s="705" t="s">
        <v>97</v>
      </c>
      <c r="I265" s="138" t="s">
        <v>383</v>
      </c>
      <c r="J265" s="119" t="s">
        <v>300</v>
      </c>
      <c r="K265" s="135"/>
      <c r="L265" s="243"/>
      <c r="M265" s="134" t="s">
        <v>383</v>
      </c>
      <c r="N265" s="119" t="s">
        <v>328</v>
      </c>
      <c r="O265" s="244"/>
      <c r="P265" s="244"/>
      <c r="Q265" s="134" t="s">
        <v>383</v>
      </c>
      <c r="R265" s="119" t="s">
        <v>329</v>
      </c>
      <c r="S265" s="244"/>
      <c r="T265" s="244"/>
      <c r="U265" s="134" t="s">
        <v>383</v>
      </c>
      <c r="V265" s="119" t="s">
        <v>330</v>
      </c>
      <c r="W265" s="244"/>
      <c r="X265" s="225"/>
      <c r="Y265" s="134" t="s">
        <v>383</v>
      </c>
      <c r="Z265" s="119" t="s">
        <v>249</v>
      </c>
      <c r="AA265" s="119"/>
      <c r="AB265" s="137"/>
      <c r="AC265" s="816"/>
      <c r="AD265" s="817"/>
      <c r="AE265" s="817"/>
      <c r="AF265" s="818"/>
      <c r="AG265" s="109" t="str">
        <f>"ser_code = '" &amp; IF(A275="■",26,"") &amp; "'"</f>
        <v>ser_code = ''</v>
      </c>
      <c r="AH265" s="109" t="str">
        <f>"26:jininkbn_code:" &amp; IF(F275="■",2,IF(F276="■",3,0))</f>
        <v>26:jininkbn_code:0</v>
      </c>
      <c r="AI265" s="109" t="str">
        <f>"26:yakan_kinmu_code:" &amp; IF(I265="■",1,IF(M265="■",2,IF(Q265="■",3,IF(U265="■",7,IF(I266="■",5,IF(M266="■",6,0))))))</f>
        <v>26:yakan_kinmu_code:0</v>
      </c>
      <c r="AJ265" s="109" t="str">
        <f>"26:field203:" &amp; IF(Y265="■",1,IF(Y266="■",2,0))</f>
        <v>26:field203:0</v>
      </c>
    </row>
    <row r="266" spans="1:36" ht="18.75" customHeight="1" x14ac:dyDescent="0.2">
      <c r="A266" s="139"/>
      <c r="B266" s="123"/>
      <c r="C266" s="140"/>
      <c r="D266" s="141"/>
      <c r="E266" s="128"/>
      <c r="F266" s="142"/>
      <c r="G266" s="128"/>
      <c r="H266" s="742"/>
      <c r="I266" s="125" t="s">
        <v>383</v>
      </c>
      <c r="J266" s="169" t="s">
        <v>331</v>
      </c>
      <c r="K266" s="179"/>
      <c r="L266" s="254"/>
      <c r="M266" s="203" t="s">
        <v>383</v>
      </c>
      <c r="N266" s="169" t="s">
        <v>301</v>
      </c>
      <c r="O266" s="151"/>
      <c r="P266" s="151"/>
      <c r="Q266" s="151"/>
      <c r="R266" s="151"/>
      <c r="S266" s="151"/>
      <c r="T266" s="151"/>
      <c r="U266" s="151"/>
      <c r="V266" s="151"/>
      <c r="W266" s="151"/>
      <c r="X266" s="238"/>
      <c r="Y266" s="118" t="s">
        <v>383</v>
      </c>
      <c r="Z266" s="126" t="s">
        <v>255</v>
      </c>
      <c r="AA266" s="147"/>
      <c r="AB266" s="148"/>
      <c r="AC266" s="819"/>
      <c r="AD266" s="820"/>
      <c r="AE266" s="820"/>
      <c r="AF266" s="821"/>
      <c r="AG266" s="109" t="str">
        <f>"26:sisetukbn_code:"&amp;IF(D275="■","A",IF(D276="■","C",0))</f>
        <v>26:sisetukbn_code:0</v>
      </c>
      <c r="AH266" s="109"/>
      <c r="AI266" s="109"/>
      <c r="AJ266" s="109"/>
    </row>
    <row r="267" spans="1:36" ht="18.75" customHeight="1" x14ac:dyDescent="0.2">
      <c r="A267" s="139"/>
      <c r="B267" s="123"/>
      <c r="C267" s="140"/>
      <c r="D267" s="141"/>
      <c r="E267" s="128"/>
      <c r="F267" s="142"/>
      <c r="G267" s="128"/>
      <c r="H267" s="242" t="s">
        <v>93</v>
      </c>
      <c r="I267" s="175" t="s">
        <v>383</v>
      </c>
      <c r="J267" s="157" t="s">
        <v>250</v>
      </c>
      <c r="K267" s="157"/>
      <c r="L267" s="159"/>
      <c r="M267" s="160" t="s">
        <v>383</v>
      </c>
      <c r="N267" s="157" t="s">
        <v>289</v>
      </c>
      <c r="O267" s="157"/>
      <c r="P267" s="159"/>
      <c r="Q267" s="160" t="s">
        <v>383</v>
      </c>
      <c r="R267" s="207" t="s">
        <v>290</v>
      </c>
      <c r="S267" s="207"/>
      <c r="T267" s="207"/>
      <c r="U267" s="160" t="s">
        <v>383</v>
      </c>
      <c r="V267" s="207" t="s">
        <v>291</v>
      </c>
      <c r="W267" s="162"/>
      <c r="X267" s="163"/>
      <c r="Y267" s="154"/>
      <c r="Z267" s="147"/>
      <c r="AA267" s="147"/>
      <c r="AB267" s="148"/>
      <c r="AC267" s="819"/>
      <c r="AD267" s="820"/>
      <c r="AE267" s="820"/>
      <c r="AF267" s="821"/>
      <c r="AI267" s="109" t="str">
        <f>"26:"&amp;IF(AND(I267="□",M267="□",Q267="□",U267="□"),"ketu_doctor_code:0",IF(I267="■","ketu_doctor_code:1:ketu_kangos_code:1:ketu_kshoku_code:1",
IF(M267="■","ketu_doctor_code:2","ketu_doctor_code:1")
&amp;IF(Q267="■",":ketu_kangos_code:2",":ketu_kangos_code:1")
&amp;IF(U267="■",":ketu_kshoku_code:2",":ketu_kshoku_code:1")))</f>
        <v>26:ketu_doctor_code:0</v>
      </c>
    </row>
    <row r="268" spans="1:36" ht="18.75" customHeight="1" x14ac:dyDescent="0.2">
      <c r="A268" s="139"/>
      <c r="B268" s="123"/>
      <c r="C268" s="140"/>
      <c r="D268" s="141"/>
      <c r="E268" s="128"/>
      <c r="F268" s="142"/>
      <c r="G268" s="128"/>
      <c r="H268" s="242" t="s">
        <v>98</v>
      </c>
      <c r="I268" s="175" t="s">
        <v>383</v>
      </c>
      <c r="J268" s="157" t="s">
        <v>265</v>
      </c>
      <c r="K268" s="158"/>
      <c r="L268" s="159"/>
      <c r="M268" s="160" t="s">
        <v>383</v>
      </c>
      <c r="N268" s="157" t="s">
        <v>266</v>
      </c>
      <c r="O268" s="162"/>
      <c r="P268" s="162"/>
      <c r="Q268" s="162"/>
      <c r="R268" s="162"/>
      <c r="S268" s="162"/>
      <c r="T268" s="162"/>
      <c r="U268" s="162"/>
      <c r="V268" s="162"/>
      <c r="W268" s="162"/>
      <c r="X268" s="163"/>
      <c r="Y268" s="154"/>
      <c r="Z268" s="147"/>
      <c r="AA268" s="147"/>
      <c r="AB268" s="148"/>
      <c r="AC268" s="819"/>
      <c r="AD268" s="820"/>
      <c r="AE268" s="820"/>
      <c r="AF268" s="821"/>
      <c r="AI268" s="109" t="str">
        <f>"26:unitcare_code:" &amp; IF(I268="■",1,IF(M268="■",2,0))</f>
        <v>26:unitcare_code:0</v>
      </c>
    </row>
    <row r="269" spans="1:36" s="109" customFormat="1" ht="18.75" customHeight="1" x14ac:dyDescent="0.2">
      <c r="A269" s="139"/>
      <c r="B269" s="123"/>
      <c r="C269" s="248"/>
      <c r="D269" s="249"/>
      <c r="E269" s="128"/>
      <c r="F269" s="142"/>
      <c r="G269" s="143"/>
      <c r="H269" s="364" t="s">
        <v>107</v>
      </c>
      <c r="I269" s="349" t="s">
        <v>383</v>
      </c>
      <c r="J269" s="350" t="s">
        <v>395</v>
      </c>
      <c r="K269" s="351"/>
      <c r="L269" s="352"/>
      <c r="M269" s="353" t="s">
        <v>383</v>
      </c>
      <c r="N269" s="350" t="s">
        <v>396</v>
      </c>
      <c r="O269" s="351"/>
      <c r="P269" s="351"/>
      <c r="Q269" s="351"/>
      <c r="R269" s="351"/>
      <c r="S269" s="351"/>
      <c r="T269" s="351"/>
      <c r="U269" s="351"/>
      <c r="V269" s="351"/>
      <c r="W269" s="351"/>
      <c r="X269" s="365"/>
      <c r="Y269" s="154"/>
      <c r="Z269" s="147"/>
      <c r="AA269" s="147"/>
      <c r="AB269" s="148"/>
      <c r="AC269" s="819"/>
      <c r="AD269" s="820"/>
      <c r="AE269" s="820"/>
      <c r="AF269" s="821"/>
      <c r="AI269" s="109" t="str">
        <f>"26:sintaikousoku_code:" &amp; IF(I269="■",1,IF(M269="■",2,0))</f>
        <v>26:sintaikousoku_code:0</v>
      </c>
    </row>
    <row r="270" spans="1:36" ht="19.5" customHeight="1" x14ac:dyDescent="0.2">
      <c r="A270" s="139"/>
      <c r="B270" s="123"/>
      <c r="C270" s="140"/>
      <c r="D270" s="141"/>
      <c r="E270" s="128"/>
      <c r="F270" s="142"/>
      <c r="G270" s="143"/>
      <c r="H270" s="348" t="s">
        <v>430</v>
      </c>
      <c r="I270" s="374" t="s">
        <v>383</v>
      </c>
      <c r="J270" s="350" t="s">
        <v>395</v>
      </c>
      <c r="K270" s="351"/>
      <c r="L270" s="352"/>
      <c r="M270" s="353" t="s">
        <v>383</v>
      </c>
      <c r="N270" s="350" t="s">
        <v>431</v>
      </c>
      <c r="O270" s="350"/>
      <c r="P270" s="350"/>
      <c r="Q270" s="355"/>
      <c r="R270" s="355"/>
      <c r="S270" s="355"/>
      <c r="T270" s="355"/>
      <c r="U270" s="355"/>
      <c r="V270" s="355"/>
      <c r="W270" s="355"/>
      <c r="X270" s="356"/>
      <c r="Y270" s="147"/>
      <c r="Z270" s="147"/>
      <c r="AA270" s="147"/>
      <c r="AB270" s="148"/>
      <c r="AC270" s="819"/>
      <c r="AD270" s="820"/>
      <c r="AE270" s="820"/>
      <c r="AF270" s="821"/>
      <c r="AI270" s="109" t="str">
        <f>"26:field223:" &amp; IF(I270="■",1,IF(M270="■",2,0))</f>
        <v>26:field223:0</v>
      </c>
    </row>
    <row r="271" spans="1:36" ht="19.5" customHeight="1" x14ac:dyDescent="0.2">
      <c r="A271" s="139"/>
      <c r="B271" s="123"/>
      <c r="C271" s="140"/>
      <c r="D271" s="141"/>
      <c r="E271" s="128"/>
      <c r="F271" s="142"/>
      <c r="G271" s="143"/>
      <c r="H271" s="348" t="s">
        <v>448</v>
      </c>
      <c r="I271" s="374" t="s">
        <v>383</v>
      </c>
      <c r="J271" s="381" t="s">
        <v>395</v>
      </c>
      <c r="K271" s="419"/>
      <c r="L271" s="382"/>
      <c r="M271" s="383" t="s">
        <v>383</v>
      </c>
      <c r="N271" s="381" t="s">
        <v>431</v>
      </c>
      <c r="O271" s="381"/>
      <c r="P271" s="381"/>
      <c r="Q271" s="436"/>
      <c r="R271" s="436"/>
      <c r="S271" s="436"/>
      <c r="T271" s="436"/>
      <c r="U271" s="436"/>
      <c r="V271" s="436"/>
      <c r="W271" s="436"/>
      <c r="X271" s="437"/>
      <c r="Y271" s="147"/>
      <c r="Z271" s="126"/>
      <c r="AA271" s="147"/>
      <c r="AB271" s="148"/>
      <c r="AC271" s="819"/>
      <c r="AD271" s="820"/>
      <c r="AE271" s="820"/>
      <c r="AF271" s="821"/>
      <c r="AI271" s="109" t="str">
        <f>"26:field232:" &amp; IF(I271="■",1,IF(M271="■",2,0))</f>
        <v>26:field232:0</v>
      </c>
    </row>
    <row r="272" spans="1:36" ht="18.75" customHeight="1" x14ac:dyDescent="0.2">
      <c r="A272" s="139"/>
      <c r="B272" s="123"/>
      <c r="C272" s="140"/>
      <c r="D272" s="141"/>
      <c r="E272" s="128"/>
      <c r="F272" s="142"/>
      <c r="G272" s="128"/>
      <c r="H272" s="364" t="s">
        <v>492</v>
      </c>
      <c r="I272" s="374" t="s">
        <v>383</v>
      </c>
      <c r="J272" s="350" t="s">
        <v>300</v>
      </c>
      <c r="K272" s="351"/>
      <c r="L272" s="352"/>
      <c r="M272" s="353" t="s">
        <v>383</v>
      </c>
      <c r="N272" s="350" t="s">
        <v>332</v>
      </c>
      <c r="O272" s="420"/>
      <c r="P272" s="420"/>
      <c r="Q272" s="420"/>
      <c r="R272" s="420"/>
      <c r="S272" s="420"/>
      <c r="T272" s="420"/>
      <c r="U272" s="420"/>
      <c r="V272" s="420"/>
      <c r="W272" s="420"/>
      <c r="X272" s="440"/>
      <c r="Y272" s="154"/>
      <c r="Z272" s="147"/>
      <c r="AA272" s="147"/>
      <c r="AB272" s="148"/>
      <c r="AC272" s="819"/>
      <c r="AD272" s="820"/>
      <c r="AE272" s="820"/>
      <c r="AF272" s="821"/>
      <c r="AI272" s="109" t="str">
        <f>"26:ryokan_code:" &amp; IF(I272="■",1,IF(M272="■",2,0))</f>
        <v>26:ryokan_code:0</v>
      </c>
    </row>
    <row r="273" spans="1:35" ht="18.75" customHeight="1" x14ac:dyDescent="0.2">
      <c r="A273" s="139"/>
      <c r="B273" s="123"/>
      <c r="C273" s="140"/>
      <c r="D273" s="141"/>
      <c r="E273" s="128"/>
      <c r="F273" s="142"/>
      <c r="G273" s="128"/>
      <c r="H273" s="364" t="s">
        <v>101</v>
      </c>
      <c r="I273" s="374" t="s">
        <v>383</v>
      </c>
      <c r="J273" s="350" t="s">
        <v>428</v>
      </c>
      <c r="K273" s="351"/>
      <c r="L273" s="352"/>
      <c r="M273" s="353" t="s">
        <v>383</v>
      </c>
      <c r="N273" s="350" t="s">
        <v>333</v>
      </c>
      <c r="O273" s="355"/>
      <c r="P273" s="355"/>
      <c r="Q273" s="355"/>
      <c r="R273" s="420"/>
      <c r="S273" s="355"/>
      <c r="T273" s="355"/>
      <c r="U273" s="355"/>
      <c r="V273" s="355"/>
      <c r="W273" s="355"/>
      <c r="X273" s="356"/>
      <c r="Y273" s="154"/>
      <c r="Z273" s="147"/>
      <c r="AA273" s="147"/>
      <c r="AB273" s="148"/>
      <c r="AC273" s="819"/>
      <c r="AD273" s="820"/>
      <c r="AE273" s="820"/>
      <c r="AF273" s="821"/>
      <c r="AI273" s="109" t="str">
        <f>"26:doctor_haiti_code:" &amp; IF(I273="■",1,IF(M273="■",2,0))</f>
        <v>26:doctor_haiti_code:0</v>
      </c>
    </row>
    <row r="274" spans="1:35" ht="18.75" customHeight="1" x14ac:dyDescent="0.2">
      <c r="A274" s="139"/>
      <c r="B274" s="123"/>
      <c r="C274" s="140"/>
      <c r="D274" s="141"/>
      <c r="E274" s="128"/>
      <c r="F274" s="142"/>
      <c r="G274" s="128"/>
      <c r="H274" s="364" t="s">
        <v>486</v>
      </c>
      <c r="I274" s="374" t="s">
        <v>383</v>
      </c>
      <c r="J274" s="350" t="s">
        <v>250</v>
      </c>
      <c r="K274" s="351"/>
      <c r="L274" s="353" t="s">
        <v>383</v>
      </c>
      <c r="M274" s="350" t="s">
        <v>267</v>
      </c>
      <c r="N274" s="355"/>
      <c r="O274" s="355"/>
      <c r="P274" s="355"/>
      <c r="Q274" s="355"/>
      <c r="R274" s="355"/>
      <c r="S274" s="355"/>
      <c r="T274" s="355"/>
      <c r="U274" s="355"/>
      <c r="V274" s="355"/>
      <c r="W274" s="355"/>
      <c r="X274" s="356"/>
      <c r="Y274" s="154"/>
      <c r="Z274" s="147"/>
      <c r="AA274" s="147"/>
      <c r="AB274" s="148"/>
      <c r="AC274" s="819"/>
      <c r="AD274" s="820"/>
      <c r="AE274" s="820"/>
      <c r="AF274" s="821"/>
      <c r="AI274" s="109" t="str">
        <f>"26:jyakuninti_uke_code:" &amp; IF(I274="■",1,IF(L274="■",2,0))</f>
        <v>26:jyakuninti_uke_code:0</v>
      </c>
    </row>
    <row r="275" spans="1:35" ht="18.75" customHeight="1" x14ac:dyDescent="0.2">
      <c r="A275" s="125" t="s">
        <v>383</v>
      </c>
      <c r="B275" s="123">
        <v>26</v>
      </c>
      <c r="C275" s="140" t="s">
        <v>495</v>
      </c>
      <c r="D275" s="125" t="s">
        <v>383</v>
      </c>
      <c r="E275" s="128" t="s">
        <v>360</v>
      </c>
      <c r="F275" s="125" t="s">
        <v>383</v>
      </c>
      <c r="G275" s="128" t="s">
        <v>358</v>
      </c>
      <c r="H275" s="364" t="s">
        <v>95</v>
      </c>
      <c r="I275" s="374" t="s">
        <v>383</v>
      </c>
      <c r="J275" s="350" t="s">
        <v>265</v>
      </c>
      <c r="K275" s="351"/>
      <c r="L275" s="352"/>
      <c r="M275" s="353" t="s">
        <v>383</v>
      </c>
      <c r="N275" s="350" t="s">
        <v>266</v>
      </c>
      <c r="O275" s="355"/>
      <c r="P275" s="355"/>
      <c r="Q275" s="355"/>
      <c r="R275" s="355"/>
      <c r="S275" s="355"/>
      <c r="T275" s="355"/>
      <c r="U275" s="355"/>
      <c r="V275" s="355"/>
      <c r="W275" s="355"/>
      <c r="X275" s="356"/>
      <c r="Y275" s="154"/>
      <c r="Z275" s="147"/>
      <c r="AA275" s="147"/>
      <c r="AB275" s="148"/>
      <c r="AC275" s="819"/>
      <c r="AD275" s="820"/>
      <c r="AE275" s="820"/>
      <c r="AF275" s="821"/>
      <c r="AI275" s="109" t="str">
        <f>"26:sougei_code:" &amp; IF(I275="■",1,IF(M275="■",2,0))</f>
        <v>26:sougei_code:0</v>
      </c>
    </row>
    <row r="276" spans="1:35" ht="19.5" customHeight="1" x14ac:dyDescent="0.2">
      <c r="A276" s="139"/>
      <c r="B276" s="123"/>
      <c r="C276" s="140"/>
      <c r="D276" s="125" t="s">
        <v>383</v>
      </c>
      <c r="E276" s="128" t="s">
        <v>361</v>
      </c>
      <c r="F276" s="125" t="s">
        <v>383</v>
      </c>
      <c r="G276" s="128" t="s">
        <v>359</v>
      </c>
      <c r="H276" s="348" t="s">
        <v>433</v>
      </c>
      <c r="I276" s="374" t="s">
        <v>383</v>
      </c>
      <c r="J276" s="350" t="s">
        <v>250</v>
      </c>
      <c r="K276" s="350"/>
      <c r="L276" s="353" t="s">
        <v>383</v>
      </c>
      <c r="M276" s="350" t="s">
        <v>267</v>
      </c>
      <c r="N276" s="350"/>
      <c r="O276" s="355"/>
      <c r="P276" s="350"/>
      <c r="Q276" s="355"/>
      <c r="R276" s="355"/>
      <c r="S276" s="355"/>
      <c r="T276" s="355"/>
      <c r="U276" s="355"/>
      <c r="V276" s="355"/>
      <c r="W276" s="355"/>
      <c r="X276" s="356"/>
      <c r="Y276" s="147"/>
      <c r="Z276" s="147"/>
      <c r="AA276" s="147"/>
      <c r="AB276" s="148"/>
      <c r="AC276" s="819"/>
      <c r="AD276" s="820"/>
      <c r="AE276" s="820"/>
      <c r="AF276" s="821"/>
      <c r="AI276" s="109" t="str">
        <f>"26:field224:" &amp; IF(I276="■",1,IF(L276="■",2,0))</f>
        <v>26:field224:0</v>
      </c>
    </row>
    <row r="277" spans="1:35" ht="18.75" customHeight="1" x14ac:dyDescent="0.2">
      <c r="A277" s="139"/>
      <c r="B277" s="123"/>
      <c r="C277" s="140"/>
      <c r="D277" s="141"/>
      <c r="E277" s="128"/>
      <c r="F277" s="142"/>
      <c r="G277" s="128"/>
      <c r="H277" s="364" t="s">
        <v>112</v>
      </c>
      <c r="I277" s="374" t="s">
        <v>383</v>
      </c>
      <c r="J277" s="350" t="s">
        <v>250</v>
      </c>
      <c r="K277" s="351"/>
      <c r="L277" s="353" t="s">
        <v>383</v>
      </c>
      <c r="M277" s="350" t="s">
        <v>267</v>
      </c>
      <c r="N277" s="355"/>
      <c r="O277" s="355"/>
      <c r="P277" s="355"/>
      <c r="Q277" s="355"/>
      <c r="R277" s="355"/>
      <c r="S277" s="355"/>
      <c r="T277" s="355"/>
      <c r="U277" s="355"/>
      <c r="V277" s="355"/>
      <c r="W277" s="355"/>
      <c r="X277" s="356"/>
      <c r="Y277" s="154"/>
      <c r="Z277" s="147"/>
      <c r="AA277" s="147"/>
      <c r="AB277" s="148"/>
      <c r="AC277" s="819"/>
      <c r="AD277" s="820"/>
      <c r="AE277" s="820"/>
      <c r="AF277" s="821"/>
      <c r="AI277" s="109" t="str">
        <f>"26:ryouyoushoku_code:" &amp; IF(I277="■",1,IF(L277="■",2,0))</f>
        <v>26:ryouyoushoku_code:0</v>
      </c>
    </row>
    <row r="278" spans="1:35" ht="18.75" customHeight="1" x14ac:dyDescent="0.2">
      <c r="A278" s="139"/>
      <c r="B278" s="123"/>
      <c r="C278" s="140"/>
      <c r="D278" s="141"/>
      <c r="E278" s="128"/>
      <c r="F278" s="142"/>
      <c r="G278" s="128"/>
      <c r="H278" s="364" t="s">
        <v>184</v>
      </c>
      <c r="I278" s="374" t="s">
        <v>383</v>
      </c>
      <c r="J278" s="350" t="s">
        <v>250</v>
      </c>
      <c r="K278" s="350"/>
      <c r="L278" s="353" t="s">
        <v>383</v>
      </c>
      <c r="M278" s="350" t="s">
        <v>251</v>
      </c>
      <c r="N278" s="350"/>
      <c r="O278" s="353" t="s">
        <v>383</v>
      </c>
      <c r="P278" s="350" t="s">
        <v>252</v>
      </c>
      <c r="Q278" s="355"/>
      <c r="R278" s="355"/>
      <c r="S278" s="355"/>
      <c r="T278" s="355"/>
      <c r="U278" s="355"/>
      <c r="V278" s="355"/>
      <c r="W278" s="355"/>
      <c r="X278" s="356"/>
      <c r="Y278" s="154"/>
      <c r="Z278" s="147"/>
      <c r="AA278" s="147"/>
      <c r="AB278" s="148"/>
      <c r="AC278" s="819"/>
      <c r="AD278" s="820"/>
      <c r="AE278" s="820"/>
      <c r="AF278" s="821"/>
      <c r="AI278" s="109" t="str">
        <f>"26:ninti_senmoncare_code:" &amp; IF(I278="■",1,IF(O278="■",3,IF(L278="■",2,0)))</f>
        <v>26:ninti_senmoncare_code:0</v>
      </c>
    </row>
    <row r="279" spans="1:35" ht="18.75" customHeight="1" x14ac:dyDescent="0.2">
      <c r="A279" s="139"/>
      <c r="B279" s="123"/>
      <c r="C279" s="140"/>
      <c r="D279" s="141"/>
      <c r="E279" s="128"/>
      <c r="F279" s="142"/>
      <c r="G279" s="128"/>
      <c r="H279" s="738" t="s">
        <v>102</v>
      </c>
      <c r="I279" s="374" t="s">
        <v>383</v>
      </c>
      <c r="J279" s="375" t="s">
        <v>320</v>
      </c>
      <c r="K279" s="375"/>
      <c r="L279" s="410"/>
      <c r="M279" s="410"/>
      <c r="N279" s="410"/>
      <c r="O279" s="410"/>
      <c r="P279" s="377" t="s">
        <v>383</v>
      </c>
      <c r="Q279" s="375" t="s">
        <v>321</v>
      </c>
      <c r="R279" s="410"/>
      <c r="S279" s="410"/>
      <c r="T279" s="410"/>
      <c r="U279" s="410"/>
      <c r="V279" s="410"/>
      <c r="W279" s="410"/>
      <c r="X279" s="411"/>
      <c r="Y279" s="154"/>
      <c r="Z279" s="147"/>
      <c r="AA279" s="147"/>
      <c r="AB279" s="148"/>
      <c r="AC279" s="819"/>
      <c r="AD279" s="820"/>
      <c r="AE279" s="820"/>
      <c r="AF279" s="821"/>
      <c r="AI279" s="109" t="str">
        <f>"26:" &amp; IF(AND(I279="□",P279="□",I280="□"),"tokusin_jyusho_code:0:tokusin_yakuzai_code:0:shuudan_comu_code:0",IF(I279="■","tokusin_jyusho_code:2","tokusin_jyusho_code:1")
&amp;IF(P279="■",":tokusin_yakuzai_code:2",":tokusin_yakuzai_code:1")
&amp;IF(I280="■",":shuudan_comu_code:2",":shuudan_comu_code:1"))</f>
        <v>26:tokusin_jyusho_code:0:tokusin_yakuzai_code:0:shuudan_comu_code:0</v>
      </c>
    </row>
    <row r="280" spans="1:35" ht="18.75" customHeight="1" x14ac:dyDescent="0.2">
      <c r="A280" s="139"/>
      <c r="B280" s="123"/>
      <c r="C280" s="140"/>
      <c r="D280" s="141"/>
      <c r="E280" s="128"/>
      <c r="F280" s="142"/>
      <c r="G280" s="128"/>
      <c r="H280" s="739"/>
      <c r="I280" s="460" t="s">
        <v>383</v>
      </c>
      <c r="J280" s="381" t="s">
        <v>334</v>
      </c>
      <c r="K280" s="436"/>
      <c r="L280" s="436"/>
      <c r="M280" s="436"/>
      <c r="N280" s="436"/>
      <c r="O280" s="436"/>
      <c r="P280" s="436"/>
      <c r="Q280" s="384"/>
      <c r="R280" s="436"/>
      <c r="S280" s="436"/>
      <c r="T280" s="436"/>
      <c r="U280" s="436"/>
      <c r="V280" s="436"/>
      <c r="W280" s="436"/>
      <c r="X280" s="437"/>
      <c r="Y280" s="154"/>
      <c r="Z280" s="147"/>
      <c r="AA280" s="147"/>
      <c r="AB280" s="148"/>
      <c r="AC280" s="819"/>
      <c r="AD280" s="820"/>
      <c r="AE280" s="820"/>
      <c r="AF280" s="821"/>
    </row>
    <row r="281" spans="1:35" ht="18.75" customHeight="1" x14ac:dyDescent="0.2">
      <c r="A281" s="139"/>
      <c r="B281" s="123"/>
      <c r="C281" s="140"/>
      <c r="D281" s="141"/>
      <c r="E281" s="128"/>
      <c r="F281" s="142"/>
      <c r="G281" s="128"/>
      <c r="H281" s="435" t="s">
        <v>442</v>
      </c>
      <c r="I281" s="374" t="s">
        <v>383</v>
      </c>
      <c r="J281" s="350" t="s">
        <v>250</v>
      </c>
      <c r="K281" s="350"/>
      <c r="L281" s="353" t="s">
        <v>383</v>
      </c>
      <c r="M281" s="350" t="s">
        <v>251</v>
      </c>
      <c r="N281" s="350"/>
      <c r="O281" s="353" t="s">
        <v>383</v>
      </c>
      <c r="P281" s="350" t="s">
        <v>252</v>
      </c>
      <c r="Q281" s="355"/>
      <c r="R281" s="355"/>
      <c r="S281" s="355"/>
      <c r="T281" s="355"/>
      <c r="U281" s="410"/>
      <c r="V281" s="410"/>
      <c r="W281" s="410"/>
      <c r="X281" s="411"/>
      <c r="Y281" s="154"/>
      <c r="Z281" s="147"/>
      <c r="AA281" s="147"/>
      <c r="AB281" s="148"/>
      <c r="AC281" s="819"/>
      <c r="AD281" s="820"/>
      <c r="AE281" s="820"/>
      <c r="AF281" s="821"/>
      <c r="AI281" s="109" t="str">
        <f>"26:field225:" &amp; IF(I281="■",1,IF(L281="■",2,IF(O281="■",3,0)))</f>
        <v>26:field225:0</v>
      </c>
    </row>
    <row r="282" spans="1:35" ht="18.75" customHeight="1" x14ac:dyDescent="0.2">
      <c r="A282" s="139"/>
      <c r="B282" s="123"/>
      <c r="C282" s="140"/>
      <c r="D282" s="141"/>
      <c r="E282" s="128"/>
      <c r="F282" s="142"/>
      <c r="G282" s="128"/>
      <c r="H282" s="738" t="s">
        <v>103</v>
      </c>
      <c r="I282" s="374" t="s">
        <v>383</v>
      </c>
      <c r="J282" s="375" t="s">
        <v>335</v>
      </c>
      <c r="K282" s="438"/>
      <c r="L282" s="376"/>
      <c r="M282" s="377" t="s">
        <v>383</v>
      </c>
      <c r="N282" s="375" t="s">
        <v>336</v>
      </c>
      <c r="O282" s="410"/>
      <c r="P282" s="410"/>
      <c r="Q282" s="377" t="s">
        <v>383</v>
      </c>
      <c r="R282" s="375" t="s">
        <v>337</v>
      </c>
      <c r="S282" s="410"/>
      <c r="T282" s="410"/>
      <c r="U282" s="410"/>
      <c r="V282" s="410"/>
      <c r="W282" s="410"/>
      <c r="X282" s="411"/>
      <c r="Y282" s="154"/>
      <c r="Z282" s="147"/>
      <c r="AA282" s="147"/>
      <c r="AB282" s="148"/>
      <c r="AC282" s="819"/>
      <c r="AD282" s="820"/>
      <c r="AE282" s="820"/>
      <c r="AF282" s="821"/>
      <c r="AI282" s="109" t="str">
        <f>"26:"&amp;IF(AND(I282="□",M282="□",Q282="□",I283="□",Q283="□"),"koriha_rryoho1_code:0:koriha_sryoho_code:0:koriha_gengo_code:0:riha_seisin_code:0:koriha_other_code:0",IF(I282="■","koriha_rryoho1_code:2","koriha_rryoho1_code:1")
&amp;IF(M282="■",":koriha_sryoho_code:2",":koriha_sryoho_code:1")
&amp;IF(Q282="■",":koriha_gengo_code:2",":koriha_gengo_code:1")
&amp;IF(I283="■",":riha_seisin_code:2",":riha_seisin_code:1")
&amp;IF(Q283="■",":koriha_other_code:2",":koriha_other_code:1"))</f>
        <v>26:koriha_rryoho1_code:0:koriha_sryoho_code:0:koriha_gengo_code:0:riha_seisin_code:0:koriha_other_code:0</v>
      </c>
    </row>
    <row r="283" spans="1:35" ht="18.75" customHeight="1" x14ac:dyDescent="0.2">
      <c r="A283" s="139"/>
      <c r="B283" s="123"/>
      <c r="C283" s="140"/>
      <c r="D283" s="141"/>
      <c r="E283" s="128"/>
      <c r="F283" s="142"/>
      <c r="G283" s="128"/>
      <c r="H283" s="739"/>
      <c r="I283" s="460" t="s">
        <v>383</v>
      </c>
      <c r="J283" s="381" t="s">
        <v>338</v>
      </c>
      <c r="K283" s="436"/>
      <c r="L283" s="436"/>
      <c r="M283" s="436"/>
      <c r="N283" s="436"/>
      <c r="O283" s="436"/>
      <c r="P283" s="436"/>
      <c r="Q283" s="383" t="s">
        <v>383</v>
      </c>
      <c r="R283" s="381" t="s">
        <v>339</v>
      </c>
      <c r="S283" s="384"/>
      <c r="T283" s="436"/>
      <c r="U283" s="436"/>
      <c r="V283" s="436"/>
      <c r="W283" s="436"/>
      <c r="X283" s="437"/>
      <c r="Y283" s="154"/>
      <c r="Z283" s="147"/>
      <c r="AA283" s="147"/>
      <c r="AB283" s="148"/>
      <c r="AC283" s="819"/>
      <c r="AD283" s="820"/>
      <c r="AE283" s="820"/>
      <c r="AF283" s="821"/>
      <c r="AI283" s="109"/>
    </row>
    <row r="284" spans="1:35" ht="18.75" customHeight="1" x14ac:dyDescent="0.2">
      <c r="A284" s="139"/>
      <c r="B284" s="123"/>
      <c r="C284" s="140"/>
      <c r="D284" s="141"/>
      <c r="E284" s="128"/>
      <c r="F284" s="142"/>
      <c r="G284" s="128"/>
      <c r="H284" s="364" t="s">
        <v>118</v>
      </c>
      <c r="I284" s="374" t="s">
        <v>383</v>
      </c>
      <c r="J284" s="350" t="s">
        <v>250</v>
      </c>
      <c r="K284" s="350"/>
      <c r="L284" s="353" t="s">
        <v>383</v>
      </c>
      <c r="M284" s="350" t="s">
        <v>258</v>
      </c>
      <c r="N284" s="350"/>
      <c r="O284" s="353" t="s">
        <v>383</v>
      </c>
      <c r="P284" s="350" t="s">
        <v>259</v>
      </c>
      <c r="Q284" s="420"/>
      <c r="R284" s="353" t="s">
        <v>383</v>
      </c>
      <c r="S284" s="350" t="s">
        <v>283</v>
      </c>
      <c r="T284" s="420"/>
      <c r="U284" s="420"/>
      <c r="V284" s="420"/>
      <c r="W284" s="420"/>
      <c r="X284" s="440"/>
      <c r="Y284" s="154"/>
      <c r="Z284" s="147"/>
      <c r="AA284" s="147"/>
      <c r="AB284" s="148"/>
      <c r="AC284" s="819"/>
      <c r="AD284" s="820"/>
      <c r="AE284" s="820"/>
      <c r="AF284" s="821"/>
      <c r="AI284" s="109" t="str">
        <f>"26:serteikyo_kyoka_code:" &amp; IF(I284="■",1,IF(L284="■",6,IF(O284="■",5,IF(R284="■",7,0))))</f>
        <v>26:serteikyo_kyoka_code:0</v>
      </c>
    </row>
    <row r="285" spans="1:35" ht="18.75" customHeight="1" x14ac:dyDescent="0.2">
      <c r="A285" s="139"/>
      <c r="B285" s="123"/>
      <c r="C285" s="140"/>
      <c r="D285" s="141"/>
      <c r="E285" s="128"/>
      <c r="F285" s="142"/>
      <c r="G285" s="128"/>
      <c r="H285" s="713" t="s">
        <v>805</v>
      </c>
      <c r="I285" s="747" t="s">
        <v>383</v>
      </c>
      <c r="J285" s="746" t="s">
        <v>250</v>
      </c>
      <c r="K285" s="746"/>
      <c r="L285" s="747" t="s">
        <v>383</v>
      </c>
      <c r="M285" s="746" t="s">
        <v>267</v>
      </c>
      <c r="N285" s="746"/>
      <c r="O285" s="378"/>
      <c r="P285" s="378"/>
      <c r="Q285" s="378"/>
      <c r="R285" s="378"/>
      <c r="S285" s="378"/>
      <c r="T285" s="378"/>
      <c r="U285" s="378"/>
      <c r="V285" s="378"/>
      <c r="W285" s="378"/>
      <c r="X285" s="379"/>
      <c r="Y285" s="154"/>
      <c r="Z285" s="147"/>
      <c r="AA285" s="147"/>
      <c r="AB285" s="148"/>
      <c r="AC285" s="819"/>
      <c r="AD285" s="820"/>
      <c r="AE285" s="820"/>
      <c r="AF285" s="821"/>
      <c r="AI285" s="109" t="str">
        <f>"26:field221:" &amp; IF(I285="■",1,IF(L285="■",2,0))</f>
        <v>26:field221:0</v>
      </c>
    </row>
    <row r="286" spans="1:35" ht="18.75" customHeight="1" x14ac:dyDescent="0.2">
      <c r="A286" s="139"/>
      <c r="B286" s="123"/>
      <c r="C286" s="140"/>
      <c r="D286" s="141"/>
      <c r="E286" s="128"/>
      <c r="F286" s="142"/>
      <c r="G286" s="128"/>
      <c r="H286" s="737"/>
      <c r="I286" s="747"/>
      <c r="J286" s="746"/>
      <c r="K286" s="746"/>
      <c r="L286" s="747"/>
      <c r="M286" s="746"/>
      <c r="N286" s="746"/>
      <c r="O286" s="384"/>
      <c r="P286" s="384"/>
      <c r="Q286" s="384"/>
      <c r="R286" s="384"/>
      <c r="S286" s="384"/>
      <c r="T286" s="384"/>
      <c r="U286" s="384"/>
      <c r="V286" s="384"/>
      <c r="W286" s="384"/>
      <c r="X286" s="385"/>
      <c r="Y286" s="154"/>
      <c r="Z286" s="147"/>
      <c r="AA286" s="147"/>
      <c r="AB286" s="148"/>
      <c r="AC286" s="819"/>
      <c r="AD286" s="820"/>
      <c r="AE286" s="820"/>
      <c r="AF286" s="821"/>
    </row>
    <row r="287" spans="1:35" s="621" customFormat="1" ht="19.8" customHeight="1" x14ac:dyDescent="0.2">
      <c r="A287" s="139"/>
      <c r="B287" s="670"/>
      <c r="C287" s="140"/>
      <c r="D287" s="141"/>
      <c r="E287" s="128"/>
      <c r="F287" s="142"/>
      <c r="G287" s="143"/>
      <c r="H287" s="713" t="s">
        <v>790</v>
      </c>
      <c r="I287" s="642" t="s">
        <v>383</v>
      </c>
      <c r="J287" s="616" t="s">
        <v>627</v>
      </c>
      <c r="K287" s="616"/>
      <c r="L287" s="615"/>
      <c r="M287" s="644" t="s">
        <v>383</v>
      </c>
      <c r="N287" s="616" t="s">
        <v>791</v>
      </c>
      <c r="O287" s="617"/>
      <c r="P287" s="615"/>
      <c r="Q287" s="644" t="s">
        <v>383</v>
      </c>
      <c r="R287" s="618" t="s">
        <v>792</v>
      </c>
      <c r="S287" s="615"/>
      <c r="T287" s="615"/>
      <c r="U287" s="615"/>
      <c r="V287" s="618"/>
      <c r="W287" s="619"/>
      <c r="X287" s="620"/>
      <c r="Y287" s="154"/>
      <c r="Z287" s="147"/>
      <c r="AA287" s="147"/>
      <c r="AB287" s="148"/>
      <c r="AC287" s="819"/>
      <c r="AD287" s="820"/>
      <c r="AE287" s="820"/>
      <c r="AF287" s="821"/>
    </row>
    <row r="288" spans="1:35" s="621" customFormat="1" ht="21" customHeight="1" x14ac:dyDescent="0.2">
      <c r="A288" s="139"/>
      <c r="B288" s="670"/>
      <c r="C288" s="140"/>
      <c r="D288" s="141"/>
      <c r="E288" s="128"/>
      <c r="F288" s="142"/>
      <c r="G288" s="143"/>
      <c r="H288" s="714"/>
      <c r="I288" s="645" t="s">
        <v>383</v>
      </c>
      <c r="J288" s="623" t="s">
        <v>793</v>
      </c>
      <c r="K288" s="623"/>
      <c r="L288" s="622"/>
      <c r="M288" s="645" t="s">
        <v>383</v>
      </c>
      <c r="N288" s="623" t="s">
        <v>794</v>
      </c>
      <c r="O288" s="624"/>
      <c r="P288" s="622"/>
      <c r="Q288" s="645" t="s">
        <v>383</v>
      </c>
      <c r="R288" s="623" t="s">
        <v>795</v>
      </c>
      <c r="S288" s="622"/>
      <c r="T288" s="623"/>
      <c r="U288" s="645" t="s">
        <v>383</v>
      </c>
      <c r="V288" s="623" t="s">
        <v>796</v>
      </c>
      <c r="W288" s="625"/>
      <c r="X288" s="626"/>
      <c r="Y288" s="154"/>
      <c r="Z288" s="147"/>
      <c r="AA288" s="147"/>
      <c r="AB288" s="148"/>
      <c r="AC288" s="819"/>
      <c r="AD288" s="820"/>
      <c r="AE288" s="820"/>
      <c r="AF288" s="821"/>
    </row>
    <row r="289" spans="1:36" s="109" customFormat="1" ht="18.75" customHeight="1" x14ac:dyDescent="0.2">
      <c r="A289" s="129"/>
      <c r="B289" s="116"/>
      <c r="C289" s="272"/>
      <c r="D289" s="273"/>
      <c r="E289" s="121"/>
      <c r="F289" s="132"/>
      <c r="G289" s="133"/>
      <c r="H289" s="366" t="s">
        <v>107</v>
      </c>
      <c r="I289" s="367" t="s">
        <v>383</v>
      </c>
      <c r="J289" s="368" t="s">
        <v>395</v>
      </c>
      <c r="K289" s="369"/>
      <c r="L289" s="370"/>
      <c r="M289" s="371" t="s">
        <v>383</v>
      </c>
      <c r="N289" s="368" t="s">
        <v>396</v>
      </c>
      <c r="O289" s="369"/>
      <c r="P289" s="369"/>
      <c r="Q289" s="369"/>
      <c r="R289" s="369"/>
      <c r="S289" s="369"/>
      <c r="T289" s="369"/>
      <c r="U289" s="369"/>
      <c r="V289" s="369"/>
      <c r="W289" s="369"/>
      <c r="X289" s="421"/>
      <c r="Y289" s="134" t="s">
        <v>383</v>
      </c>
      <c r="Z289" s="119" t="s">
        <v>249</v>
      </c>
      <c r="AA289" s="119"/>
      <c r="AB289" s="137"/>
      <c r="AC289" s="675"/>
      <c r="AD289" s="748"/>
      <c r="AE289" s="748"/>
      <c r="AF289" s="749"/>
      <c r="AG289" s="109" t="str">
        <f>"ser_code = '" &amp; IF(A297="■",26,"") &amp; "'"</f>
        <v>ser_code = ''</v>
      </c>
      <c r="AH289" s="109" t="str">
        <f>"26:jininkbn_code:"&amp;IF(F295="■",1,IF(F297="■",3,IF(F299="■",4,IF(F301="■",2,0))))</f>
        <v>26:jininkbn_code:0</v>
      </c>
      <c r="AI289" s="109" t="str">
        <f>"26:sintaikousoku_code:" &amp; IF(I289="■",1,IF(M289="■",2,0))</f>
        <v>26:sintaikousoku_code:0</v>
      </c>
      <c r="AJ289" s="109" t="str">
        <f>"26:field203:" &amp; IF(Y289="■",1,IF(Y290="■",2,0))</f>
        <v>26:field203:0</v>
      </c>
    </row>
    <row r="290" spans="1:36" ht="19.5" customHeight="1" x14ac:dyDescent="0.2">
      <c r="A290" s="139"/>
      <c r="B290" s="123"/>
      <c r="C290" s="140"/>
      <c r="D290" s="141"/>
      <c r="E290" s="128"/>
      <c r="F290" s="142"/>
      <c r="G290" s="143"/>
      <c r="H290" s="465" t="s">
        <v>430</v>
      </c>
      <c r="I290" s="374" t="s">
        <v>383</v>
      </c>
      <c r="J290" s="381" t="s">
        <v>395</v>
      </c>
      <c r="K290" s="419"/>
      <c r="L290" s="382"/>
      <c r="M290" s="383" t="s">
        <v>383</v>
      </c>
      <c r="N290" s="381" t="s">
        <v>431</v>
      </c>
      <c r="O290" s="436"/>
      <c r="P290" s="381"/>
      <c r="Q290" s="436"/>
      <c r="R290" s="436"/>
      <c r="S290" s="436"/>
      <c r="T290" s="436"/>
      <c r="U290" s="436"/>
      <c r="V290" s="436"/>
      <c r="W290" s="436"/>
      <c r="X290" s="437"/>
      <c r="Y290" s="118" t="s">
        <v>383</v>
      </c>
      <c r="Z290" s="126" t="s">
        <v>255</v>
      </c>
      <c r="AA290" s="147"/>
      <c r="AB290" s="148"/>
      <c r="AC290" s="750"/>
      <c r="AD290" s="751"/>
      <c r="AE290" s="751"/>
      <c r="AF290" s="752"/>
      <c r="AG290" s="109" t="str">
        <f>"26:sisetukbn_code:"&amp;IF(D297="■","2",0)</f>
        <v>26:sisetukbn_code:0</v>
      </c>
      <c r="AH290" s="109"/>
      <c r="AI290" s="109" t="str">
        <f>"26:field223:" &amp; IF(I290="■",1,IF(M290="■",2,0))</f>
        <v>26:field223:0</v>
      </c>
      <c r="AJ290" s="109"/>
    </row>
    <row r="291" spans="1:36" ht="19.5" customHeight="1" x14ac:dyDescent="0.2">
      <c r="A291" s="139"/>
      <c r="B291" s="123"/>
      <c r="C291" s="140"/>
      <c r="D291" s="141"/>
      <c r="E291" s="128"/>
      <c r="F291" s="142"/>
      <c r="G291" s="143"/>
      <c r="H291" s="348" t="s">
        <v>448</v>
      </c>
      <c r="I291" s="374" t="s">
        <v>383</v>
      </c>
      <c r="J291" s="381" t="s">
        <v>395</v>
      </c>
      <c r="K291" s="419"/>
      <c r="L291" s="382"/>
      <c r="M291" s="383" t="s">
        <v>383</v>
      </c>
      <c r="N291" s="381" t="s">
        <v>431</v>
      </c>
      <c r="O291" s="436"/>
      <c r="P291" s="381"/>
      <c r="Q291" s="436"/>
      <c r="R291" s="436"/>
      <c r="S291" s="436"/>
      <c r="T291" s="436"/>
      <c r="U291" s="436"/>
      <c r="V291" s="436"/>
      <c r="W291" s="436"/>
      <c r="X291" s="437"/>
      <c r="Y291" s="154"/>
      <c r="Z291" s="126"/>
      <c r="AA291" s="147"/>
      <c r="AB291" s="148"/>
      <c r="AC291" s="750"/>
      <c r="AD291" s="751"/>
      <c r="AE291" s="751"/>
      <c r="AF291" s="752"/>
      <c r="AG291" s="109"/>
      <c r="AH291" s="109"/>
      <c r="AI291" s="109" t="str">
        <f>"26:field232:" &amp; IF(I291="■",1,IF(M291="■",2,0))</f>
        <v>26:field232:0</v>
      </c>
      <c r="AJ291" s="109"/>
    </row>
    <row r="292" spans="1:36" ht="18.75" customHeight="1" x14ac:dyDescent="0.2">
      <c r="A292" s="139"/>
      <c r="B292" s="123"/>
      <c r="C292" s="140"/>
      <c r="D292" s="141"/>
      <c r="E292" s="143"/>
      <c r="F292" s="141"/>
      <c r="G292" s="128"/>
      <c r="H292" s="467" t="s">
        <v>117</v>
      </c>
      <c r="I292" s="374" t="s">
        <v>383</v>
      </c>
      <c r="J292" s="381" t="s">
        <v>300</v>
      </c>
      <c r="K292" s="419"/>
      <c r="L292" s="382"/>
      <c r="M292" s="383" t="s">
        <v>383</v>
      </c>
      <c r="N292" s="381" t="s">
        <v>332</v>
      </c>
      <c r="O292" s="384"/>
      <c r="P292" s="419"/>
      <c r="Q292" s="419"/>
      <c r="R292" s="419"/>
      <c r="S292" s="419"/>
      <c r="T292" s="419"/>
      <c r="U292" s="419"/>
      <c r="V292" s="419"/>
      <c r="W292" s="419"/>
      <c r="X292" s="468"/>
      <c r="Y292" s="154"/>
      <c r="Z292" s="126"/>
      <c r="AA292" s="147"/>
      <c r="AB292" s="148"/>
      <c r="AC292" s="750"/>
      <c r="AD292" s="751"/>
      <c r="AE292" s="751"/>
      <c r="AF292" s="752"/>
      <c r="AI292" s="109" t="str">
        <f>"26:setubi_kijyun_code:" &amp; IF(I292="■",1,IF(M292="■",2,0))</f>
        <v>26:setubi_kijyun_code:0</v>
      </c>
    </row>
    <row r="293" spans="1:36" ht="18.75" customHeight="1" x14ac:dyDescent="0.2">
      <c r="A293" s="139"/>
      <c r="B293" s="123"/>
      <c r="C293" s="140"/>
      <c r="D293" s="141"/>
      <c r="E293" s="143"/>
      <c r="F293" s="141"/>
      <c r="G293" s="128"/>
      <c r="H293" s="364" t="s">
        <v>146</v>
      </c>
      <c r="I293" s="374" t="s">
        <v>383</v>
      </c>
      <c r="J293" s="350" t="s">
        <v>300</v>
      </c>
      <c r="K293" s="351"/>
      <c r="L293" s="352"/>
      <c r="M293" s="353" t="s">
        <v>383</v>
      </c>
      <c r="N293" s="350" t="s">
        <v>332</v>
      </c>
      <c r="O293" s="420"/>
      <c r="P293" s="351"/>
      <c r="Q293" s="351"/>
      <c r="R293" s="351"/>
      <c r="S293" s="351"/>
      <c r="T293" s="351"/>
      <c r="U293" s="351"/>
      <c r="V293" s="351"/>
      <c r="W293" s="351"/>
      <c r="X293" s="365"/>
      <c r="Y293" s="154"/>
      <c r="Z293" s="147"/>
      <c r="AA293" s="147"/>
      <c r="AB293" s="148"/>
      <c r="AC293" s="750"/>
      <c r="AD293" s="751"/>
      <c r="AE293" s="751"/>
      <c r="AF293" s="752"/>
      <c r="AI293" s="109" t="str">
        <f>"26:field163:" &amp; IF(I293="■",1,IF(M293="■",2,0))</f>
        <v>26:field163:0</v>
      </c>
    </row>
    <row r="294" spans="1:36" ht="18.75" customHeight="1" x14ac:dyDescent="0.2">
      <c r="A294" s="139"/>
      <c r="B294" s="123"/>
      <c r="C294" s="140"/>
      <c r="D294" s="141"/>
      <c r="E294" s="143"/>
      <c r="F294" s="141"/>
      <c r="G294" s="128"/>
      <c r="H294" s="364" t="s">
        <v>486</v>
      </c>
      <c r="I294" s="374" t="s">
        <v>383</v>
      </c>
      <c r="J294" s="350" t="s">
        <v>250</v>
      </c>
      <c r="K294" s="351"/>
      <c r="L294" s="353" t="s">
        <v>383</v>
      </c>
      <c r="M294" s="350" t="s">
        <v>267</v>
      </c>
      <c r="N294" s="355"/>
      <c r="O294" s="355"/>
      <c r="P294" s="355"/>
      <c r="Q294" s="351"/>
      <c r="R294" s="351"/>
      <c r="S294" s="351"/>
      <c r="T294" s="351"/>
      <c r="U294" s="351"/>
      <c r="V294" s="351"/>
      <c r="W294" s="351"/>
      <c r="X294" s="365"/>
      <c r="Y294" s="154"/>
      <c r="Z294" s="147"/>
      <c r="AA294" s="147"/>
      <c r="AB294" s="148"/>
      <c r="AC294" s="750"/>
      <c r="AD294" s="751"/>
      <c r="AE294" s="751"/>
      <c r="AF294" s="752"/>
      <c r="AI294" s="109" t="str">
        <f>"26:jyakuninti_uke_code:" &amp; IF(I294="■",1,IF(L294="■",2,0))</f>
        <v>26:jyakuninti_uke_code:0</v>
      </c>
    </row>
    <row r="295" spans="1:36" ht="18.75" customHeight="1" x14ac:dyDescent="0.2">
      <c r="A295" s="139"/>
      <c r="B295" s="123"/>
      <c r="C295" s="140"/>
      <c r="D295" s="141"/>
      <c r="E295" s="143"/>
      <c r="F295" s="125" t="s">
        <v>383</v>
      </c>
      <c r="G295" s="128" t="s">
        <v>362</v>
      </c>
      <c r="H295" s="364" t="s">
        <v>95</v>
      </c>
      <c r="I295" s="374" t="s">
        <v>383</v>
      </c>
      <c r="J295" s="350" t="s">
        <v>265</v>
      </c>
      <c r="K295" s="351"/>
      <c r="L295" s="352"/>
      <c r="M295" s="353" t="s">
        <v>383</v>
      </c>
      <c r="N295" s="350" t="s">
        <v>266</v>
      </c>
      <c r="O295" s="355"/>
      <c r="P295" s="355"/>
      <c r="Q295" s="351"/>
      <c r="R295" s="351"/>
      <c r="S295" s="351"/>
      <c r="T295" s="351"/>
      <c r="U295" s="351"/>
      <c r="V295" s="351"/>
      <c r="W295" s="351"/>
      <c r="X295" s="365"/>
      <c r="Y295" s="154"/>
      <c r="Z295" s="147"/>
      <c r="AA295" s="147"/>
      <c r="AB295" s="148"/>
      <c r="AC295" s="750"/>
      <c r="AD295" s="751"/>
      <c r="AE295" s="751"/>
      <c r="AF295" s="752"/>
      <c r="AI295" s="109" t="str">
        <f>"26:sougei_code:" &amp; IF(I295="■",1,IF(M295="■",2,0))</f>
        <v>26:sougei_code:0</v>
      </c>
    </row>
    <row r="296" spans="1:36" ht="19.5" customHeight="1" x14ac:dyDescent="0.2">
      <c r="A296" s="139"/>
      <c r="B296" s="123"/>
      <c r="C296" s="140"/>
      <c r="D296" s="141"/>
      <c r="E296" s="143"/>
      <c r="F296" s="141"/>
      <c r="G296" s="128" t="s">
        <v>341</v>
      </c>
      <c r="H296" s="348" t="s">
        <v>433</v>
      </c>
      <c r="I296" s="374" t="s">
        <v>383</v>
      </c>
      <c r="J296" s="350" t="s">
        <v>250</v>
      </c>
      <c r="K296" s="350"/>
      <c r="L296" s="353" t="s">
        <v>383</v>
      </c>
      <c r="M296" s="350" t="s">
        <v>267</v>
      </c>
      <c r="N296" s="350"/>
      <c r="O296" s="355"/>
      <c r="P296" s="350"/>
      <c r="Q296" s="355"/>
      <c r="R296" s="355"/>
      <c r="S296" s="355"/>
      <c r="T296" s="355"/>
      <c r="U296" s="355"/>
      <c r="V296" s="355"/>
      <c r="W296" s="355"/>
      <c r="X296" s="356"/>
      <c r="Y296" s="147"/>
      <c r="Z296" s="147"/>
      <c r="AA296" s="147"/>
      <c r="AB296" s="148"/>
      <c r="AC296" s="750"/>
      <c r="AD296" s="751"/>
      <c r="AE296" s="751"/>
      <c r="AF296" s="752"/>
      <c r="AI296" s="109" t="str">
        <f>"26:field224:" &amp; IF(I296="■",1,IF(L296="■",2,0))</f>
        <v>26:field224:0</v>
      </c>
    </row>
    <row r="297" spans="1:36" ht="18.75" customHeight="1" x14ac:dyDescent="0.2">
      <c r="A297" s="125" t="s">
        <v>383</v>
      </c>
      <c r="B297" s="123">
        <v>26</v>
      </c>
      <c r="C297" s="140" t="s">
        <v>495</v>
      </c>
      <c r="D297" s="125" t="s">
        <v>383</v>
      </c>
      <c r="E297" s="143" t="s">
        <v>496</v>
      </c>
      <c r="F297" s="125" t="s">
        <v>383</v>
      </c>
      <c r="G297" s="128" t="s">
        <v>363</v>
      </c>
      <c r="H297" s="364" t="s">
        <v>112</v>
      </c>
      <c r="I297" s="374" t="s">
        <v>383</v>
      </c>
      <c r="J297" s="350" t="s">
        <v>250</v>
      </c>
      <c r="K297" s="351"/>
      <c r="L297" s="353" t="s">
        <v>383</v>
      </c>
      <c r="M297" s="350" t="s">
        <v>267</v>
      </c>
      <c r="N297" s="355"/>
      <c r="O297" s="355"/>
      <c r="P297" s="355"/>
      <c r="Q297" s="351"/>
      <c r="R297" s="351"/>
      <c r="S297" s="351"/>
      <c r="T297" s="351"/>
      <c r="U297" s="351"/>
      <c r="V297" s="351"/>
      <c r="W297" s="351"/>
      <c r="X297" s="365"/>
      <c r="Y297" s="154"/>
      <c r="Z297" s="147"/>
      <c r="AA297" s="147"/>
      <c r="AB297" s="148"/>
      <c r="AC297" s="750"/>
      <c r="AD297" s="751"/>
      <c r="AE297" s="751"/>
      <c r="AF297" s="752"/>
      <c r="AI297" s="109" t="str">
        <f>"26:ryouyoushoku_code:" &amp; IF(I297="■",1,IF(L297="■",2,0))</f>
        <v>26:ryouyoushoku_code:0</v>
      </c>
    </row>
    <row r="298" spans="1:36" ht="18.75" customHeight="1" x14ac:dyDescent="0.2">
      <c r="A298" s="139"/>
      <c r="B298" s="123"/>
      <c r="C298" s="140"/>
      <c r="D298" s="141"/>
      <c r="E298" s="143"/>
      <c r="F298" s="141"/>
      <c r="G298" s="128" t="s">
        <v>343</v>
      </c>
      <c r="H298" s="364" t="s">
        <v>184</v>
      </c>
      <c r="I298" s="374" t="s">
        <v>383</v>
      </c>
      <c r="J298" s="350" t="s">
        <v>250</v>
      </c>
      <c r="K298" s="350"/>
      <c r="L298" s="353" t="s">
        <v>383</v>
      </c>
      <c r="M298" s="350" t="s">
        <v>251</v>
      </c>
      <c r="N298" s="350"/>
      <c r="O298" s="353" t="s">
        <v>383</v>
      </c>
      <c r="P298" s="350" t="s">
        <v>252</v>
      </c>
      <c r="Q298" s="355"/>
      <c r="R298" s="351"/>
      <c r="S298" s="351"/>
      <c r="T298" s="351"/>
      <c r="U298" s="351"/>
      <c r="V298" s="351"/>
      <c r="W298" s="351"/>
      <c r="X298" s="365"/>
      <c r="Y298" s="154"/>
      <c r="Z298" s="147"/>
      <c r="AA298" s="147"/>
      <c r="AB298" s="148"/>
      <c r="AC298" s="750"/>
      <c r="AD298" s="751"/>
      <c r="AE298" s="751"/>
      <c r="AF298" s="752"/>
      <c r="AI298" s="109" t="str">
        <f>"26:ninti_senmoncare_code:" &amp; IF(I298="■",1,IF(O298="■",3,IF(L298="■",2,0)))</f>
        <v>26:ninti_senmoncare_code:0</v>
      </c>
    </row>
    <row r="299" spans="1:36" ht="18.75" customHeight="1" x14ac:dyDescent="0.2">
      <c r="A299" s="139"/>
      <c r="B299" s="123"/>
      <c r="C299" s="140"/>
      <c r="D299" s="141"/>
      <c r="E299" s="143"/>
      <c r="F299" s="125" t="s">
        <v>383</v>
      </c>
      <c r="G299" s="128" t="s">
        <v>364</v>
      </c>
      <c r="H299" s="738" t="s">
        <v>102</v>
      </c>
      <c r="I299" s="374" t="s">
        <v>383</v>
      </c>
      <c r="J299" s="375" t="s">
        <v>320</v>
      </c>
      <c r="K299" s="375"/>
      <c r="L299" s="410"/>
      <c r="M299" s="410"/>
      <c r="N299" s="410"/>
      <c r="O299" s="410"/>
      <c r="P299" s="377" t="s">
        <v>383</v>
      </c>
      <c r="Q299" s="375" t="s">
        <v>321</v>
      </c>
      <c r="R299" s="410"/>
      <c r="S299" s="410"/>
      <c r="T299" s="410"/>
      <c r="U299" s="410"/>
      <c r="V299" s="410"/>
      <c r="W299" s="410"/>
      <c r="X299" s="411"/>
      <c r="Y299" s="154"/>
      <c r="Z299" s="147"/>
      <c r="AA299" s="147"/>
      <c r="AB299" s="148"/>
      <c r="AC299" s="750"/>
      <c r="AD299" s="751"/>
      <c r="AE299" s="751"/>
      <c r="AF299" s="752"/>
      <c r="AI299" s="109" t="str">
        <f>"26:" &amp; IF(AND(I299="□",P299="□",I300="□"),"tokusin_jyusho_code:0:tokusin_yakuzai_code:0:shuudan_comu_code:0",IF(I299="■","tokusin_jyusho_code:2","tokusin_jyusho_code:1")
&amp;IF(P299="■",":tokusin_yakuzai_code:2",":tokusin_yakuzai_code:1")
&amp;IF(I300="■",":shuudan_comu_code:2",":shuudan_comu_code:1"))</f>
        <v>26:tokusin_jyusho_code:0:tokusin_yakuzai_code:0:shuudan_comu_code:0</v>
      </c>
    </row>
    <row r="300" spans="1:36" ht="18.75" customHeight="1" x14ac:dyDescent="0.2">
      <c r="A300" s="139"/>
      <c r="B300" s="123"/>
      <c r="C300" s="140"/>
      <c r="D300" s="141"/>
      <c r="E300" s="143"/>
      <c r="F300" s="141"/>
      <c r="G300" s="128" t="s">
        <v>345</v>
      </c>
      <c r="H300" s="739"/>
      <c r="I300" s="460" t="s">
        <v>383</v>
      </c>
      <c r="J300" s="381" t="s">
        <v>334</v>
      </c>
      <c r="K300" s="436"/>
      <c r="L300" s="436"/>
      <c r="M300" s="436"/>
      <c r="N300" s="436"/>
      <c r="O300" s="436"/>
      <c r="P300" s="436"/>
      <c r="Q300" s="384"/>
      <c r="R300" s="436"/>
      <c r="S300" s="436"/>
      <c r="T300" s="436"/>
      <c r="U300" s="436"/>
      <c r="V300" s="436"/>
      <c r="W300" s="436"/>
      <c r="X300" s="437"/>
      <c r="Y300" s="154"/>
      <c r="Z300" s="147"/>
      <c r="AA300" s="147"/>
      <c r="AB300" s="148"/>
      <c r="AC300" s="750"/>
      <c r="AD300" s="751"/>
      <c r="AE300" s="751"/>
      <c r="AF300" s="752"/>
      <c r="AI300" s="109"/>
    </row>
    <row r="301" spans="1:36" ht="18.75" customHeight="1" x14ac:dyDescent="0.2">
      <c r="A301" s="139"/>
      <c r="B301" s="123"/>
      <c r="C301" s="140"/>
      <c r="D301" s="141"/>
      <c r="E301" s="143"/>
      <c r="F301" s="125" t="s">
        <v>383</v>
      </c>
      <c r="G301" s="128" t="s">
        <v>365</v>
      </c>
      <c r="H301" s="435" t="s">
        <v>442</v>
      </c>
      <c r="I301" s="374" t="s">
        <v>383</v>
      </c>
      <c r="J301" s="350" t="s">
        <v>250</v>
      </c>
      <c r="K301" s="350"/>
      <c r="L301" s="353" t="s">
        <v>383</v>
      </c>
      <c r="M301" s="350" t="s">
        <v>251</v>
      </c>
      <c r="N301" s="350"/>
      <c r="O301" s="353" t="s">
        <v>383</v>
      </c>
      <c r="P301" s="350" t="s">
        <v>252</v>
      </c>
      <c r="Q301" s="355"/>
      <c r="R301" s="355"/>
      <c r="S301" s="355"/>
      <c r="T301" s="355"/>
      <c r="U301" s="410"/>
      <c r="V301" s="410"/>
      <c r="W301" s="410"/>
      <c r="X301" s="411"/>
      <c r="Y301" s="154"/>
      <c r="Z301" s="147"/>
      <c r="AA301" s="147"/>
      <c r="AB301" s="148"/>
      <c r="AC301" s="750"/>
      <c r="AD301" s="751"/>
      <c r="AE301" s="751"/>
      <c r="AF301" s="752"/>
      <c r="AI301" s="109" t="str">
        <f>"26:field225:" &amp; IF(I301="■",1,IF(L301="■",2,IF(O301="■",3,0)))</f>
        <v>26:field225:0</v>
      </c>
    </row>
    <row r="302" spans="1:36" ht="18.75" customHeight="1" x14ac:dyDescent="0.2">
      <c r="A302" s="139"/>
      <c r="B302" s="123"/>
      <c r="C302" s="140"/>
      <c r="D302" s="141"/>
      <c r="E302" s="143"/>
      <c r="F302" s="141"/>
      <c r="G302" s="128"/>
      <c r="H302" s="738" t="s">
        <v>103</v>
      </c>
      <c r="I302" s="374" t="s">
        <v>383</v>
      </c>
      <c r="J302" s="375" t="s">
        <v>335</v>
      </c>
      <c r="K302" s="438"/>
      <c r="L302" s="376"/>
      <c r="M302" s="377" t="s">
        <v>383</v>
      </c>
      <c r="N302" s="375" t="s">
        <v>336</v>
      </c>
      <c r="O302" s="410"/>
      <c r="P302" s="410"/>
      <c r="Q302" s="377" t="s">
        <v>383</v>
      </c>
      <c r="R302" s="375" t="s">
        <v>337</v>
      </c>
      <c r="S302" s="410"/>
      <c r="T302" s="410"/>
      <c r="U302" s="410"/>
      <c r="V302" s="410"/>
      <c r="W302" s="410"/>
      <c r="X302" s="411"/>
      <c r="Y302" s="154"/>
      <c r="Z302" s="147"/>
      <c r="AA302" s="147"/>
      <c r="AB302" s="148"/>
      <c r="AC302" s="750"/>
      <c r="AD302" s="751"/>
      <c r="AE302" s="751"/>
      <c r="AF302" s="752"/>
      <c r="AI302" s="109" t="str">
        <f>"26:"&amp;IF(AND(I302="□",M302="□",Q302="□",I303="□",Q303="□"),"koriha_rryoho1_code:0:koriha_sryoho_code:0:koriha_gengo_code:0:riha_seisin_code:0:koriha_other_code:0",IF(I302="■","koriha_rryoho1_code:2","koriha_rryoho1_code:1")
&amp;IF(M302="■",":koriha_sryoho_code:2",":koriha_sryoho_code:1")
&amp;IF(Q302="■",":koriha_gengo_code:2",":koriha_gengo_code:1")
&amp;IF(I303="■",":riha_seisin_code:2",":riha_seisin_code:1")
&amp;IF(Q303="■",":koriha_other_code:2",":koriha_other_code:1"))</f>
        <v>26:koriha_rryoho1_code:0:koriha_sryoho_code:0:koriha_gengo_code:0:riha_seisin_code:0:koriha_other_code:0</v>
      </c>
    </row>
    <row r="303" spans="1:36" ht="18.75" customHeight="1" x14ac:dyDescent="0.2">
      <c r="A303" s="139"/>
      <c r="B303" s="123"/>
      <c r="C303" s="140"/>
      <c r="D303" s="141"/>
      <c r="E303" s="143"/>
      <c r="F303" s="141"/>
      <c r="G303" s="128"/>
      <c r="H303" s="739"/>
      <c r="I303" s="460" t="s">
        <v>383</v>
      </c>
      <c r="J303" s="381" t="s">
        <v>338</v>
      </c>
      <c r="K303" s="436"/>
      <c r="L303" s="436"/>
      <c r="M303" s="436"/>
      <c r="N303" s="436"/>
      <c r="O303" s="436"/>
      <c r="P303" s="436"/>
      <c r="Q303" s="383" t="s">
        <v>383</v>
      </c>
      <c r="R303" s="381" t="s">
        <v>339</v>
      </c>
      <c r="S303" s="384"/>
      <c r="T303" s="436"/>
      <c r="U303" s="436"/>
      <c r="V303" s="436"/>
      <c r="W303" s="436"/>
      <c r="X303" s="437"/>
      <c r="Y303" s="154"/>
      <c r="Z303" s="147"/>
      <c r="AA303" s="147"/>
      <c r="AB303" s="148"/>
      <c r="AC303" s="750"/>
      <c r="AD303" s="751"/>
      <c r="AE303" s="751"/>
      <c r="AF303" s="752"/>
      <c r="AI303" s="109"/>
    </row>
    <row r="304" spans="1:36" ht="18.75" customHeight="1" x14ac:dyDescent="0.2">
      <c r="A304" s="139"/>
      <c r="B304" s="123"/>
      <c r="C304" s="140"/>
      <c r="D304" s="141"/>
      <c r="E304" s="143"/>
      <c r="F304" s="141"/>
      <c r="G304" s="128"/>
      <c r="H304" s="364" t="s">
        <v>118</v>
      </c>
      <c r="I304" s="374" t="s">
        <v>383</v>
      </c>
      <c r="J304" s="350" t="s">
        <v>250</v>
      </c>
      <c r="K304" s="350"/>
      <c r="L304" s="353" t="s">
        <v>383</v>
      </c>
      <c r="M304" s="350" t="s">
        <v>258</v>
      </c>
      <c r="N304" s="350"/>
      <c r="O304" s="353" t="s">
        <v>383</v>
      </c>
      <c r="P304" s="350" t="s">
        <v>259</v>
      </c>
      <c r="Q304" s="420"/>
      <c r="R304" s="353" t="s">
        <v>383</v>
      </c>
      <c r="S304" s="350" t="s">
        <v>283</v>
      </c>
      <c r="T304" s="420"/>
      <c r="U304" s="420"/>
      <c r="V304" s="420"/>
      <c r="W304" s="420"/>
      <c r="X304" s="440"/>
      <c r="Y304" s="154"/>
      <c r="Z304" s="147"/>
      <c r="AA304" s="147"/>
      <c r="AB304" s="148"/>
      <c r="AC304" s="750"/>
      <c r="AD304" s="751"/>
      <c r="AE304" s="751"/>
      <c r="AF304" s="752"/>
      <c r="AI304" s="109" t="str">
        <f>"26:serteikyo_kyoka_code:" &amp; IF(I304="■",1,IF(L304="■",6,IF(O304="■",5,IF(R304="■",7,0))))</f>
        <v>26:serteikyo_kyoka_code:0</v>
      </c>
    </row>
    <row r="305" spans="1:36" ht="18.75" customHeight="1" x14ac:dyDescent="0.2">
      <c r="A305" s="139"/>
      <c r="B305" s="123"/>
      <c r="C305" s="140"/>
      <c r="D305" s="141"/>
      <c r="E305" s="143"/>
      <c r="F305" s="141"/>
      <c r="G305" s="128"/>
      <c r="H305" s="713" t="s">
        <v>805</v>
      </c>
      <c r="I305" s="747" t="s">
        <v>383</v>
      </c>
      <c r="J305" s="746" t="s">
        <v>250</v>
      </c>
      <c r="K305" s="746"/>
      <c r="L305" s="747" t="s">
        <v>383</v>
      </c>
      <c r="M305" s="746" t="s">
        <v>267</v>
      </c>
      <c r="N305" s="746"/>
      <c r="O305" s="378"/>
      <c r="P305" s="378"/>
      <c r="Q305" s="378"/>
      <c r="R305" s="378"/>
      <c r="S305" s="378"/>
      <c r="T305" s="378"/>
      <c r="U305" s="378"/>
      <c r="V305" s="378"/>
      <c r="W305" s="378"/>
      <c r="X305" s="379"/>
      <c r="Y305" s="154"/>
      <c r="Z305" s="147"/>
      <c r="AA305" s="147"/>
      <c r="AB305" s="148"/>
      <c r="AC305" s="750"/>
      <c r="AD305" s="751"/>
      <c r="AE305" s="751"/>
      <c r="AF305" s="752"/>
      <c r="AI305" s="109" t="str">
        <f>"26:field221:" &amp; IF(I305="■",1,IF(L305="■",2,0))</f>
        <v>26:field221:0</v>
      </c>
    </row>
    <row r="306" spans="1:36" ht="18.75" customHeight="1" x14ac:dyDescent="0.2">
      <c r="A306" s="139"/>
      <c r="B306" s="123"/>
      <c r="C306" s="140"/>
      <c r="D306" s="141"/>
      <c r="E306" s="143"/>
      <c r="H306" s="737"/>
      <c r="I306" s="747"/>
      <c r="J306" s="746"/>
      <c r="K306" s="746"/>
      <c r="L306" s="747"/>
      <c r="M306" s="746"/>
      <c r="N306" s="746"/>
      <c r="O306" s="384"/>
      <c r="P306" s="384"/>
      <c r="Q306" s="384"/>
      <c r="R306" s="384"/>
      <c r="S306" s="384"/>
      <c r="T306" s="384"/>
      <c r="U306" s="384"/>
      <c r="V306" s="384"/>
      <c r="W306" s="384"/>
      <c r="X306" s="385"/>
      <c r="Y306" s="154"/>
      <c r="Z306" s="147"/>
      <c r="AA306" s="147"/>
      <c r="AB306" s="148"/>
      <c r="AC306" s="750"/>
      <c r="AD306" s="751"/>
      <c r="AE306" s="751"/>
      <c r="AF306" s="752"/>
    </row>
    <row r="307" spans="1:36" s="621" customFormat="1" ht="19.8" customHeight="1" x14ac:dyDescent="0.2">
      <c r="A307" s="139"/>
      <c r="B307" s="670"/>
      <c r="C307" s="140"/>
      <c r="D307" s="141"/>
      <c r="E307" s="128"/>
      <c r="F307" s="142"/>
      <c r="G307" s="143"/>
      <c r="H307" s="713" t="s">
        <v>790</v>
      </c>
      <c r="I307" s="642" t="s">
        <v>383</v>
      </c>
      <c r="J307" s="616" t="s">
        <v>627</v>
      </c>
      <c r="K307" s="616"/>
      <c r="L307" s="615"/>
      <c r="M307" s="644" t="s">
        <v>383</v>
      </c>
      <c r="N307" s="616" t="s">
        <v>791</v>
      </c>
      <c r="O307" s="617"/>
      <c r="P307" s="615"/>
      <c r="Q307" s="644" t="s">
        <v>383</v>
      </c>
      <c r="R307" s="618" t="s">
        <v>792</v>
      </c>
      <c r="S307" s="615"/>
      <c r="T307" s="615"/>
      <c r="U307" s="615"/>
      <c r="V307" s="618"/>
      <c r="W307" s="619"/>
      <c r="X307" s="620"/>
      <c r="Y307" s="154"/>
      <c r="Z307" s="147"/>
      <c r="AA307" s="147"/>
      <c r="AB307" s="148"/>
      <c r="AC307" s="750"/>
      <c r="AD307" s="751"/>
      <c r="AE307" s="751"/>
      <c r="AF307" s="752"/>
    </row>
    <row r="308" spans="1:36" s="621" customFormat="1" ht="21" customHeight="1" x14ac:dyDescent="0.2">
      <c r="A308" s="139"/>
      <c r="B308" s="670"/>
      <c r="C308" s="140"/>
      <c r="D308" s="141"/>
      <c r="E308" s="128"/>
      <c r="F308" s="142"/>
      <c r="G308" s="143"/>
      <c r="H308" s="714"/>
      <c r="I308" s="645" t="s">
        <v>383</v>
      </c>
      <c r="J308" s="623" t="s">
        <v>793</v>
      </c>
      <c r="K308" s="623"/>
      <c r="L308" s="622"/>
      <c r="M308" s="645" t="s">
        <v>383</v>
      </c>
      <c r="N308" s="623" t="s">
        <v>794</v>
      </c>
      <c r="O308" s="624"/>
      <c r="P308" s="622"/>
      <c r="Q308" s="645" t="s">
        <v>383</v>
      </c>
      <c r="R308" s="623" t="s">
        <v>795</v>
      </c>
      <c r="S308" s="622"/>
      <c r="T308" s="623"/>
      <c r="U308" s="645" t="s">
        <v>383</v>
      </c>
      <c r="V308" s="623" t="s">
        <v>796</v>
      </c>
      <c r="W308" s="625"/>
      <c r="X308" s="626"/>
      <c r="Y308" s="154"/>
      <c r="Z308" s="147"/>
      <c r="AA308" s="147"/>
      <c r="AB308" s="148"/>
      <c r="AC308" s="750"/>
      <c r="AD308" s="751"/>
      <c r="AE308" s="751"/>
      <c r="AF308" s="752"/>
    </row>
    <row r="309" spans="1:36" s="109" customFormat="1" ht="18.75" customHeight="1" x14ac:dyDescent="0.2">
      <c r="A309" s="129"/>
      <c r="B309" s="116"/>
      <c r="C309" s="272"/>
      <c r="D309" s="273"/>
      <c r="E309" s="121"/>
      <c r="F309" s="132"/>
      <c r="G309" s="133"/>
      <c r="H309" s="366" t="s">
        <v>107</v>
      </c>
      <c r="I309" s="367" t="s">
        <v>383</v>
      </c>
      <c r="J309" s="368" t="s">
        <v>395</v>
      </c>
      <c r="K309" s="369"/>
      <c r="L309" s="370"/>
      <c r="M309" s="371" t="s">
        <v>383</v>
      </c>
      <c r="N309" s="368" t="s">
        <v>396</v>
      </c>
      <c r="O309" s="369"/>
      <c r="P309" s="369"/>
      <c r="Q309" s="369"/>
      <c r="R309" s="369"/>
      <c r="S309" s="369"/>
      <c r="T309" s="369"/>
      <c r="U309" s="369"/>
      <c r="V309" s="369"/>
      <c r="W309" s="369"/>
      <c r="X309" s="421"/>
      <c r="Y309" s="138" t="s">
        <v>383</v>
      </c>
      <c r="Z309" s="119" t="s">
        <v>249</v>
      </c>
      <c r="AA309" s="294"/>
      <c r="AB309" s="137"/>
      <c r="AC309" s="833"/>
      <c r="AD309" s="748"/>
      <c r="AE309" s="748"/>
      <c r="AF309" s="749"/>
      <c r="AG309" s="109" t="str">
        <f>"ser_code = '" &amp; IF(A319="■",26,"") &amp; "'"</f>
        <v>ser_code = ''</v>
      </c>
      <c r="AH309" s="109" t="str">
        <f>"26:jininkbn_code:"&amp;IF(F317="■",1,IF(F319="■",2,IF(F321="■",3,0)))</f>
        <v>26:jininkbn_code:0</v>
      </c>
      <c r="AI309" s="109" t="str">
        <f>"26:sintaikousoku_code:" &amp; IF(I309="■",1,IF(M309="■",2,0))</f>
        <v>26:sintaikousoku_code:0</v>
      </c>
      <c r="AJ309" s="109" t="str">
        <f>"26:field203:" &amp; IF(Y309="■",1,IF(Y310="■",2,0))</f>
        <v>26:field203:0</v>
      </c>
    </row>
    <row r="310" spans="1:36" ht="19.5" customHeight="1" x14ac:dyDescent="0.2">
      <c r="A310" s="139"/>
      <c r="B310" s="123"/>
      <c r="C310" s="140"/>
      <c r="D310" s="141"/>
      <c r="E310" s="128"/>
      <c r="F310" s="142"/>
      <c r="G310" s="143"/>
      <c r="H310" s="465" t="s">
        <v>430</v>
      </c>
      <c r="I310" s="374" t="s">
        <v>383</v>
      </c>
      <c r="J310" s="381" t="s">
        <v>395</v>
      </c>
      <c r="K310" s="419"/>
      <c r="L310" s="382"/>
      <c r="M310" s="383" t="s">
        <v>383</v>
      </c>
      <c r="N310" s="381" t="s">
        <v>431</v>
      </c>
      <c r="O310" s="436"/>
      <c r="P310" s="381"/>
      <c r="Q310" s="436"/>
      <c r="R310" s="436"/>
      <c r="S310" s="436"/>
      <c r="T310" s="436"/>
      <c r="U310" s="436"/>
      <c r="V310" s="436"/>
      <c r="W310" s="436"/>
      <c r="X310" s="437"/>
      <c r="Y310" s="118" t="s">
        <v>383</v>
      </c>
      <c r="Z310" s="126" t="s">
        <v>255</v>
      </c>
      <c r="AA310" s="126"/>
      <c r="AB310" s="148"/>
      <c r="AC310" s="750"/>
      <c r="AD310" s="751"/>
      <c r="AE310" s="751"/>
      <c r="AF310" s="752"/>
      <c r="AG310" s="109" t="str">
        <f>"26:sisetukbn_code:"&amp;IF(D319="■","7",0)</f>
        <v>26:sisetukbn_code:0</v>
      </c>
      <c r="AH310" s="109"/>
      <c r="AI310" s="109" t="str">
        <f>"26:field223:" &amp; IF(I310="■",1,IF(M310="■",2,0))</f>
        <v>26:field223:0</v>
      </c>
      <c r="AJ310" s="109"/>
    </row>
    <row r="311" spans="1:36" ht="19.5" customHeight="1" x14ac:dyDescent="0.2">
      <c r="A311" s="139"/>
      <c r="B311" s="123"/>
      <c r="C311" s="140"/>
      <c r="D311" s="141"/>
      <c r="E311" s="128"/>
      <c r="F311" s="142"/>
      <c r="G311" s="143"/>
      <c r="H311" s="348" t="s">
        <v>448</v>
      </c>
      <c r="I311" s="374" t="s">
        <v>383</v>
      </c>
      <c r="J311" s="381" t="s">
        <v>395</v>
      </c>
      <c r="K311" s="419"/>
      <c r="L311" s="382"/>
      <c r="M311" s="383" t="s">
        <v>383</v>
      </c>
      <c r="N311" s="381" t="s">
        <v>431</v>
      </c>
      <c r="O311" s="436"/>
      <c r="P311" s="381"/>
      <c r="Q311" s="436"/>
      <c r="R311" s="436"/>
      <c r="S311" s="436"/>
      <c r="T311" s="436"/>
      <c r="U311" s="436"/>
      <c r="V311" s="436"/>
      <c r="W311" s="436"/>
      <c r="X311" s="437"/>
      <c r="Y311" s="154"/>
      <c r="Z311" s="126"/>
      <c r="AA311" s="147"/>
      <c r="AB311" s="148"/>
      <c r="AC311" s="750"/>
      <c r="AD311" s="751"/>
      <c r="AE311" s="751"/>
      <c r="AF311" s="752"/>
      <c r="AG311" s="109"/>
      <c r="AH311" s="109"/>
      <c r="AI311" s="109" t="str">
        <f>"26:field232:" &amp; IF(I311="■",1,IF(M311="■",2,0))</f>
        <v>26:field232:0</v>
      </c>
      <c r="AJ311" s="109"/>
    </row>
    <row r="312" spans="1:36" ht="18.75" customHeight="1" x14ac:dyDescent="0.2">
      <c r="A312" s="139"/>
      <c r="B312" s="123"/>
      <c r="C312" s="140"/>
      <c r="D312" s="141"/>
      <c r="E312" s="128"/>
      <c r="F312" s="142"/>
      <c r="G312" s="128"/>
      <c r="H312" s="467" t="s">
        <v>98</v>
      </c>
      <c r="I312" s="374" t="s">
        <v>383</v>
      </c>
      <c r="J312" s="381" t="s">
        <v>265</v>
      </c>
      <c r="K312" s="419"/>
      <c r="L312" s="382"/>
      <c r="M312" s="383" t="s">
        <v>383</v>
      </c>
      <c r="N312" s="381" t="s">
        <v>266</v>
      </c>
      <c r="O312" s="436"/>
      <c r="P312" s="436"/>
      <c r="Q312" s="436"/>
      <c r="R312" s="436"/>
      <c r="S312" s="436"/>
      <c r="T312" s="436"/>
      <c r="U312" s="436"/>
      <c r="V312" s="436"/>
      <c r="W312" s="436"/>
      <c r="X312" s="437"/>
      <c r="Y312" s="154"/>
      <c r="Z312" s="126"/>
      <c r="AA312" s="147"/>
      <c r="AB312" s="148"/>
      <c r="AC312" s="750"/>
      <c r="AD312" s="751"/>
      <c r="AE312" s="751"/>
      <c r="AF312" s="752"/>
      <c r="AG312" s="109"/>
      <c r="AH312" s="109"/>
      <c r="AI312" s="109" t="str">
        <f>"26:unitcare_code:" &amp; IF(I312="■",1,IF(M312="■",2,0))</f>
        <v>26:unitcare_code:0</v>
      </c>
      <c r="AJ312" s="109"/>
    </row>
    <row r="313" spans="1:36" ht="18.75" customHeight="1" x14ac:dyDescent="0.2">
      <c r="A313" s="139"/>
      <c r="B313" s="123"/>
      <c r="C313" s="140"/>
      <c r="D313" s="141"/>
      <c r="E313" s="128"/>
      <c r="F313" s="142"/>
      <c r="G313" s="128"/>
      <c r="H313" s="364" t="s">
        <v>117</v>
      </c>
      <c r="I313" s="374" t="s">
        <v>383</v>
      </c>
      <c r="J313" s="350" t="s">
        <v>300</v>
      </c>
      <c r="K313" s="351"/>
      <c r="L313" s="352"/>
      <c r="M313" s="353" t="s">
        <v>383</v>
      </c>
      <c r="N313" s="350" t="s">
        <v>332</v>
      </c>
      <c r="O313" s="355"/>
      <c r="P313" s="355"/>
      <c r="Q313" s="355"/>
      <c r="R313" s="355"/>
      <c r="S313" s="355"/>
      <c r="T313" s="355"/>
      <c r="U313" s="355"/>
      <c r="V313" s="355"/>
      <c r="W313" s="355"/>
      <c r="X313" s="356"/>
      <c r="Y313" s="154"/>
      <c r="Z313" s="147"/>
      <c r="AA313" s="147"/>
      <c r="AB313" s="148"/>
      <c r="AC313" s="750"/>
      <c r="AD313" s="751"/>
      <c r="AE313" s="751"/>
      <c r="AF313" s="752"/>
      <c r="AG313" s="109"/>
      <c r="AH313" s="109"/>
      <c r="AI313" s="109" t="str">
        <f>"26:setubi_kijyun_code:" &amp; IF(I313="■",1,IF(M313="■",2,0))</f>
        <v>26:setubi_kijyun_code:0</v>
      </c>
      <c r="AJ313" s="109"/>
    </row>
    <row r="314" spans="1:36" ht="18.75" customHeight="1" x14ac:dyDescent="0.2">
      <c r="A314" s="139"/>
      <c r="B314" s="123"/>
      <c r="C314" s="140"/>
      <c r="D314" s="141"/>
      <c r="E314" s="128"/>
      <c r="F314" s="142"/>
      <c r="G314" s="128"/>
      <c r="H314" s="364" t="s">
        <v>146</v>
      </c>
      <c r="I314" s="374" t="s">
        <v>383</v>
      </c>
      <c r="J314" s="350" t="s">
        <v>300</v>
      </c>
      <c r="K314" s="351"/>
      <c r="L314" s="352"/>
      <c r="M314" s="353" t="s">
        <v>383</v>
      </c>
      <c r="N314" s="350" t="s">
        <v>332</v>
      </c>
      <c r="O314" s="355"/>
      <c r="P314" s="355"/>
      <c r="Q314" s="355"/>
      <c r="R314" s="355"/>
      <c r="S314" s="355"/>
      <c r="T314" s="355"/>
      <c r="U314" s="355"/>
      <c r="V314" s="355"/>
      <c r="W314" s="355"/>
      <c r="X314" s="356"/>
      <c r="Y314" s="154"/>
      <c r="Z314" s="147"/>
      <c r="AA314" s="147"/>
      <c r="AB314" s="148"/>
      <c r="AC314" s="750"/>
      <c r="AD314" s="751"/>
      <c r="AE314" s="751"/>
      <c r="AF314" s="752"/>
      <c r="AG314" s="109"/>
      <c r="AH314" s="109"/>
      <c r="AI314" s="109" t="str">
        <f>"26:field163:" &amp; IF(I314="■",1,IF(M314="■",2,0))</f>
        <v>26:field163:0</v>
      </c>
      <c r="AJ314" s="109"/>
    </row>
    <row r="315" spans="1:36" ht="18.75" customHeight="1" x14ac:dyDescent="0.2">
      <c r="A315" s="139"/>
      <c r="B315" s="123"/>
      <c r="C315" s="140"/>
      <c r="D315" s="141"/>
      <c r="E315" s="128"/>
      <c r="F315" s="142"/>
      <c r="G315" s="128"/>
      <c r="H315" s="364" t="s">
        <v>486</v>
      </c>
      <c r="I315" s="374" t="s">
        <v>383</v>
      </c>
      <c r="J315" s="350" t="s">
        <v>250</v>
      </c>
      <c r="K315" s="351"/>
      <c r="L315" s="353" t="s">
        <v>383</v>
      </c>
      <c r="M315" s="350" t="s">
        <v>267</v>
      </c>
      <c r="N315" s="355"/>
      <c r="O315" s="355"/>
      <c r="P315" s="355"/>
      <c r="Q315" s="351"/>
      <c r="R315" s="355"/>
      <c r="S315" s="355"/>
      <c r="T315" s="355"/>
      <c r="U315" s="355"/>
      <c r="V315" s="355"/>
      <c r="W315" s="355"/>
      <c r="X315" s="356"/>
      <c r="Y315" s="154"/>
      <c r="Z315" s="147"/>
      <c r="AA315" s="147"/>
      <c r="AB315" s="148"/>
      <c r="AC315" s="750"/>
      <c r="AD315" s="751"/>
      <c r="AE315" s="751"/>
      <c r="AF315" s="752"/>
      <c r="AG315" s="109"/>
      <c r="AH315" s="109"/>
      <c r="AI315" s="109" t="str">
        <f>"26:jyakuninti_uke_code:" &amp; IF(I315="■",1,IF(L315="■",2,0))</f>
        <v>26:jyakuninti_uke_code:0</v>
      </c>
      <c r="AJ315" s="109"/>
    </row>
    <row r="316" spans="1:36" ht="18.75" customHeight="1" x14ac:dyDescent="0.2">
      <c r="A316" s="139"/>
      <c r="B316" s="123"/>
      <c r="C316" s="140"/>
      <c r="D316" s="141"/>
      <c r="E316" s="128"/>
      <c r="F316" s="142"/>
      <c r="G316" s="128"/>
      <c r="H316" s="364" t="s">
        <v>95</v>
      </c>
      <c r="I316" s="374" t="s">
        <v>383</v>
      </c>
      <c r="J316" s="350" t="s">
        <v>265</v>
      </c>
      <c r="K316" s="351"/>
      <c r="L316" s="352"/>
      <c r="M316" s="353" t="s">
        <v>383</v>
      </c>
      <c r="N316" s="350" t="s">
        <v>266</v>
      </c>
      <c r="O316" s="355"/>
      <c r="P316" s="355"/>
      <c r="Q316" s="351"/>
      <c r="R316" s="355"/>
      <c r="S316" s="355"/>
      <c r="T316" s="355"/>
      <c r="U316" s="355"/>
      <c r="V316" s="355"/>
      <c r="W316" s="355"/>
      <c r="X316" s="356"/>
      <c r="Y316" s="154"/>
      <c r="Z316" s="147"/>
      <c r="AA316" s="147"/>
      <c r="AB316" s="148"/>
      <c r="AC316" s="750"/>
      <c r="AD316" s="751"/>
      <c r="AE316" s="751"/>
      <c r="AF316" s="752"/>
      <c r="AG316" s="109"/>
      <c r="AH316" s="109"/>
      <c r="AI316" s="109" t="str">
        <f>"26:sougei_code:" &amp; IF(I316="■",1,IF(M316="■",2,0))</f>
        <v>26:sougei_code:0</v>
      </c>
      <c r="AJ316" s="109"/>
    </row>
    <row r="317" spans="1:36" ht="19.5" customHeight="1" x14ac:dyDescent="0.2">
      <c r="A317" s="139"/>
      <c r="B317" s="123"/>
      <c r="C317" s="140"/>
      <c r="D317" s="141"/>
      <c r="E317" s="128"/>
      <c r="F317" s="125" t="s">
        <v>383</v>
      </c>
      <c r="G317" s="128" t="s">
        <v>351</v>
      </c>
      <c r="H317" s="348" t="s">
        <v>433</v>
      </c>
      <c r="I317" s="374" t="s">
        <v>383</v>
      </c>
      <c r="J317" s="350" t="s">
        <v>250</v>
      </c>
      <c r="K317" s="350"/>
      <c r="L317" s="353" t="s">
        <v>383</v>
      </c>
      <c r="M317" s="350" t="s">
        <v>267</v>
      </c>
      <c r="N317" s="350"/>
      <c r="O317" s="355"/>
      <c r="P317" s="350"/>
      <c r="Q317" s="355"/>
      <c r="R317" s="355"/>
      <c r="S317" s="355"/>
      <c r="T317" s="355"/>
      <c r="U317" s="355"/>
      <c r="V317" s="355"/>
      <c r="W317" s="355"/>
      <c r="X317" s="356"/>
      <c r="Y317" s="147"/>
      <c r="Z317" s="147"/>
      <c r="AA317" s="147"/>
      <c r="AB317" s="148"/>
      <c r="AC317" s="750"/>
      <c r="AD317" s="751"/>
      <c r="AE317" s="751"/>
      <c r="AF317" s="752"/>
      <c r="AG317" s="109"/>
      <c r="AH317" s="109"/>
      <c r="AI317" s="109" t="str">
        <f>"26:field224:" &amp; IF(I317="■",1,IF(L317="■",2,0))</f>
        <v>26:field224:0</v>
      </c>
      <c r="AJ317" s="109"/>
    </row>
    <row r="318" spans="1:36" ht="18.75" customHeight="1" x14ac:dyDescent="0.2">
      <c r="A318" s="139"/>
      <c r="B318" s="123"/>
      <c r="C318" s="140"/>
      <c r="D318" s="141"/>
      <c r="E318" s="128"/>
      <c r="F318" s="142"/>
      <c r="G318" s="128" t="s">
        <v>352</v>
      </c>
      <c r="H318" s="364" t="s">
        <v>112</v>
      </c>
      <c r="I318" s="374" t="s">
        <v>383</v>
      </c>
      <c r="J318" s="350" t="s">
        <v>250</v>
      </c>
      <c r="K318" s="351"/>
      <c r="L318" s="353" t="s">
        <v>383</v>
      </c>
      <c r="M318" s="350" t="s">
        <v>267</v>
      </c>
      <c r="N318" s="355"/>
      <c r="O318" s="355"/>
      <c r="P318" s="355"/>
      <c r="Q318" s="351"/>
      <c r="R318" s="355"/>
      <c r="S318" s="355"/>
      <c r="T318" s="355"/>
      <c r="U318" s="355"/>
      <c r="V318" s="355"/>
      <c r="W318" s="355"/>
      <c r="X318" s="356"/>
      <c r="Y318" s="154"/>
      <c r="Z318" s="147"/>
      <c r="AA318" s="147"/>
      <c r="AB318" s="148"/>
      <c r="AC318" s="750"/>
      <c r="AD318" s="751"/>
      <c r="AE318" s="751"/>
      <c r="AF318" s="752"/>
      <c r="AG318" s="109"/>
      <c r="AH318" s="109"/>
      <c r="AI318" s="109" t="str">
        <f>"26:ryouyoushoku_code:" &amp; IF(I318="■",1,IF(L318="■",2,0))</f>
        <v>26:ryouyoushoku_code:0</v>
      </c>
      <c r="AJ318" s="109"/>
    </row>
    <row r="319" spans="1:36" ht="18.75" customHeight="1" x14ac:dyDescent="0.2">
      <c r="A319" s="125" t="s">
        <v>383</v>
      </c>
      <c r="B319" s="123">
        <v>26</v>
      </c>
      <c r="C319" s="140" t="s">
        <v>491</v>
      </c>
      <c r="D319" s="125" t="s">
        <v>383</v>
      </c>
      <c r="E319" s="128" t="s">
        <v>367</v>
      </c>
      <c r="F319" s="125" t="s">
        <v>383</v>
      </c>
      <c r="G319" s="128" t="s">
        <v>353</v>
      </c>
      <c r="H319" s="364" t="s">
        <v>184</v>
      </c>
      <c r="I319" s="374" t="s">
        <v>383</v>
      </c>
      <c r="J319" s="350" t="s">
        <v>250</v>
      </c>
      <c r="K319" s="350"/>
      <c r="L319" s="353" t="s">
        <v>383</v>
      </c>
      <c r="M319" s="350" t="s">
        <v>251</v>
      </c>
      <c r="N319" s="350"/>
      <c r="O319" s="353" t="s">
        <v>383</v>
      </c>
      <c r="P319" s="350" t="s">
        <v>252</v>
      </c>
      <c r="Q319" s="355"/>
      <c r="R319" s="355"/>
      <c r="S319" s="355"/>
      <c r="T319" s="355"/>
      <c r="U319" s="355"/>
      <c r="V319" s="355"/>
      <c r="W319" s="355"/>
      <c r="X319" s="356"/>
      <c r="Y319" s="154"/>
      <c r="Z319" s="147"/>
      <c r="AA319" s="147"/>
      <c r="AB319" s="148"/>
      <c r="AC319" s="750"/>
      <c r="AD319" s="751"/>
      <c r="AE319" s="751"/>
      <c r="AF319" s="752"/>
      <c r="AG319" s="109"/>
      <c r="AH319" s="109"/>
      <c r="AI319" s="109" t="str">
        <f>"26:ninti_senmoncare_code:" &amp; IF(I319="■",1,IF(O319="■",3,IF(L319="■",2,0)))</f>
        <v>26:ninti_senmoncare_code:0</v>
      </c>
      <c r="AJ319" s="109"/>
    </row>
    <row r="320" spans="1:36" ht="18.75" customHeight="1" x14ac:dyDescent="0.2">
      <c r="A320" s="139"/>
      <c r="B320" s="123"/>
      <c r="C320" s="140"/>
      <c r="D320" s="141"/>
      <c r="E320" s="128"/>
      <c r="F320" s="142"/>
      <c r="G320" s="128" t="s">
        <v>354</v>
      </c>
      <c r="H320" s="738" t="s">
        <v>102</v>
      </c>
      <c r="I320" s="374" t="s">
        <v>383</v>
      </c>
      <c r="J320" s="375" t="s">
        <v>320</v>
      </c>
      <c r="K320" s="375"/>
      <c r="L320" s="410"/>
      <c r="M320" s="410"/>
      <c r="N320" s="410"/>
      <c r="O320" s="410"/>
      <c r="P320" s="377" t="s">
        <v>383</v>
      </c>
      <c r="Q320" s="375" t="s">
        <v>321</v>
      </c>
      <c r="R320" s="410"/>
      <c r="S320" s="410"/>
      <c r="T320" s="410"/>
      <c r="U320" s="410"/>
      <c r="V320" s="410"/>
      <c r="W320" s="410"/>
      <c r="X320" s="411"/>
      <c r="Y320" s="154"/>
      <c r="Z320" s="147"/>
      <c r="AA320" s="147"/>
      <c r="AB320" s="148"/>
      <c r="AC320" s="750"/>
      <c r="AD320" s="751"/>
      <c r="AE320" s="751"/>
      <c r="AF320" s="752"/>
      <c r="AG320" s="109"/>
      <c r="AH320" s="109"/>
      <c r="AI320" s="109" t="str">
        <f>"26:" &amp; IF(AND(I320="□",P320="□",I321="□"),"tokusin_jyusho_code:0:tokusin_yakuzai_code:0:shuudan_comu_code:0",IF(I320="■","tokusin_jyusho_code:2","tokusin_jyusho_code:1")
&amp;IF(P320="■",":tokusin_yakuzai_code:2",":tokusin_yakuzai_code:1")
&amp;IF(I321="■",":shuudan_comu_code:2",":shuudan_comu_code:1"))</f>
        <v>26:tokusin_jyusho_code:0:tokusin_yakuzai_code:0:shuudan_comu_code:0</v>
      </c>
      <c r="AJ320" s="109"/>
    </row>
    <row r="321" spans="1:36" ht="18.75" customHeight="1" x14ac:dyDescent="0.2">
      <c r="A321" s="139"/>
      <c r="B321" s="123"/>
      <c r="C321" s="140"/>
      <c r="D321" s="141"/>
      <c r="E321" s="128"/>
      <c r="F321" s="125" t="s">
        <v>383</v>
      </c>
      <c r="G321" s="128" t="s">
        <v>355</v>
      </c>
      <c r="H321" s="739"/>
      <c r="I321" s="460" t="s">
        <v>383</v>
      </c>
      <c r="J321" s="381" t="s">
        <v>334</v>
      </c>
      <c r="K321" s="436"/>
      <c r="L321" s="436"/>
      <c r="M321" s="436"/>
      <c r="N321" s="436"/>
      <c r="O321" s="436"/>
      <c r="P321" s="436"/>
      <c r="Q321" s="384"/>
      <c r="R321" s="436"/>
      <c r="S321" s="436"/>
      <c r="T321" s="436"/>
      <c r="U321" s="436"/>
      <c r="V321" s="436"/>
      <c r="W321" s="436"/>
      <c r="X321" s="437"/>
      <c r="Y321" s="154"/>
      <c r="Z321" s="147"/>
      <c r="AA321" s="147"/>
      <c r="AB321" s="148"/>
      <c r="AC321" s="750"/>
      <c r="AD321" s="751"/>
      <c r="AE321" s="751"/>
      <c r="AF321" s="752"/>
      <c r="AG321" s="109"/>
      <c r="AH321" s="109"/>
      <c r="AI321" s="109"/>
      <c r="AJ321" s="109"/>
    </row>
    <row r="322" spans="1:36" ht="18.75" customHeight="1" x14ac:dyDescent="0.2">
      <c r="A322" s="139"/>
      <c r="B322" s="123"/>
      <c r="C322" s="140"/>
      <c r="D322" s="141"/>
      <c r="E322" s="128"/>
      <c r="F322" s="142"/>
      <c r="G322" s="128" t="s">
        <v>356</v>
      </c>
      <c r="H322" s="435" t="s">
        <v>442</v>
      </c>
      <c r="I322" s="374" t="s">
        <v>383</v>
      </c>
      <c r="J322" s="350" t="s">
        <v>250</v>
      </c>
      <c r="K322" s="350"/>
      <c r="L322" s="353" t="s">
        <v>383</v>
      </c>
      <c r="M322" s="350" t="s">
        <v>251</v>
      </c>
      <c r="N322" s="350"/>
      <c r="O322" s="353" t="s">
        <v>383</v>
      </c>
      <c r="P322" s="350" t="s">
        <v>252</v>
      </c>
      <c r="Q322" s="355"/>
      <c r="R322" s="355"/>
      <c r="S322" s="355"/>
      <c r="T322" s="355"/>
      <c r="U322" s="410"/>
      <c r="V322" s="410"/>
      <c r="W322" s="410"/>
      <c r="X322" s="411"/>
      <c r="Y322" s="154"/>
      <c r="Z322" s="147"/>
      <c r="AA322" s="147"/>
      <c r="AB322" s="148"/>
      <c r="AC322" s="750"/>
      <c r="AD322" s="751"/>
      <c r="AE322" s="751"/>
      <c r="AF322" s="752"/>
      <c r="AG322" s="109"/>
      <c r="AH322" s="109"/>
      <c r="AI322" s="109" t="str">
        <f>"26:field225:" &amp; IF(I322="■",1,IF(L322="■",2,IF(O322="■",3,0)))</f>
        <v>26:field225:0</v>
      </c>
      <c r="AJ322" s="109"/>
    </row>
    <row r="323" spans="1:36" ht="18.75" customHeight="1" x14ac:dyDescent="0.2">
      <c r="A323" s="141"/>
      <c r="B323" s="123"/>
      <c r="C323" s="140"/>
      <c r="D323" s="141"/>
      <c r="E323" s="128"/>
      <c r="F323" s="142"/>
      <c r="G323" s="128"/>
      <c r="H323" s="738" t="s">
        <v>103</v>
      </c>
      <c r="I323" s="374" t="s">
        <v>383</v>
      </c>
      <c r="J323" s="375" t="s">
        <v>335</v>
      </c>
      <c r="K323" s="438"/>
      <c r="L323" s="376"/>
      <c r="M323" s="377" t="s">
        <v>383</v>
      </c>
      <c r="N323" s="375" t="s">
        <v>336</v>
      </c>
      <c r="O323" s="410"/>
      <c r="P323" s="410"/>
      <c r="Q323" s="377" t="s">
        <v>383</v>
      </c>
      <c r="R323" s="375" t="s">
        <v>337</v>
      </c>
      <c r="S323" s="410"/>
      <c r="T323" s="410"/>
      <c r="U323" s="410"/>
      <c r="V323" s="410"/>
      <c r="W323" s="410"/>
      <c r="X323" s="411"/>
      <c r="Y323" s="154"/>
      <c r="Z323" s="147"/>
      <c r="AA323" s="147"/>
      <c r="AB323" s="148"/>
      <c r="AC323" s="750"/>
      <c r="AD323" s="751"/>
      <c r="AE323" s="751"/>
      <c r="AF323" s="752"/>
      <c r="AG323" s="109"/>
      <c r="AH323" s="109"/>
      <c r="AI323" s="109" t="str">
        <f>"26:"&amp;IF(AND(I323="□",M323="□",Q323="□",I324="□",Q324="□"),"koriha_rryoho1_code:0:koriha_sryoho_code:0:koriha_gengo_code:0:riha_seisin_code:0:koriha_other_code:0",IF(I323="■","koriha_rryoho1_code:2","koriha_rryoho1_code:1")
&amp;IF(M323="■",":koriha_sryoho_code:2",":koriha_sryoho_code:1")
&amp;IF(Q323="■",":koriha_gengo_code:2",":koriha_gengo_code:1")
&amp;IF(I324="■",":riha_seisin_code:2",":riha_seisin_code:1")
&amp;IF(Q324="■",":koriha_other_code:2",":koriha_other_code:1"))</f>
        <v>26:koriha_rryoho1_code:0:koriha_sryoho_code:0:koriha_gengo_code:0:riha_seisin_code:0:koriha_other_code:0</v>
      </c>
      <c r="AJ323" s="109"/>
    </row>
    <row r="324" spans="1:36" ht="18.75" customHeight="1" x14ac:dyDescent="0.2">
      <c r="A324" s="139"/>
      <c r="B324" s="123"/>
      <c r="C324" s="140"/>
      <c r="D324" s="141"/>
      <c r="E324" s="128"/>
      <c r="F324" s="142"/>
      <c r="G324" s="128"/>
      <c r="H324" s="739"/>
      <c r="I324" s="460" t="s">
        <v>383</v>
      </c>
      <c r="J324" s="381" t="s">
        <v>338</v>
      </c>
      <c r="K324" s="436"/>
      <c r="L324" s="436"/>
      <c r="M324" s="436"/>
      <c r="N324" s="436"/>
      <c r="O324" s="436"/>
      <c r="P324" s="436"/>
      <c r="Q324" s="383" t="s">
        <v>383</v>
      </c>
      <c r="R324" s="381" t="s">
        <v>339</v>
      </c>
      <c r="S324" s="384"/>
      <c r="T324" s="436"/>
      <c r="U324" s="436"/>
      <c r="V324" s="436"/>
      <c r="W324" s="436"/>
      <c r="X324" s="437"/>
      <c r="Y324" s="154"/>
      <c r="Z324" s="147"/>
      <c r="AA324" s="147"/>
      <c r="AB324" s="148"/>
      <c r="AC324" s="750"/>
      <c r="AD324" s="751"/>
      <c r="AE324" s="751"/>
      <c r="AF324" s="752"/>
      <c r="AG324" s="109"/>
      <c r="AH324" s="109"/>
      <c r="AI324" s="109"/>
      <c r="AJ324" s="109"/>
    </row>
    <row r="325" spans="1:36" ht="18.75" customHeight="1" x14ac:dyDescent="0.2">
      <c r="A325" s="139"/>
      <c r="B325" s="123"/>
      <c r="C325" s="140"/>
      <c r="D325" s="141"/>
      <c r="E325" s="128"/>
      <c r="F325" s="142"/>
      <c r="G325" s="128"/>
      <c r="H325" s="364" t="s">
        <v>118</v>
      </c>
      <c r="I325" s="374" t="s">
        <v>383</v>
      </c>
      <c r="J325" s="350" t="s">
        <v>250</v>
      </c>
      <c r="K325" s="350"/>
      <c r="L325" s="353" t="s">
        <v>383</v>
      </c>
      <c r="M325" s="350" t="s">
        <v>258</v>
      </c>
      <c r="N325" s="350"/>
      <c r="O325" s="353" t="s">
        <v>383</v>
      </c>
      <c r="P325" s="350" t="s">
        <v>259</v>
      </c>
      <c r="Q325" s="420"/>
      <c r="R325" s="353" t="s">
        <v>383</v>
      </c>
      <c r="S325" s="350" t="s">
        <v>283</v>
      </c>
      <c r="T325" s="420"/>
      <c r="U325" s="420"/>
      <c r="V325" s="420"/>
      <c r="W325" s="420"/>
      <c r="X325" s="440"/>
      <c r="Y325" s="154"/>
      <c r="Z325" s="147"/>
      <c r="AA325" s="147"/>
      <c r="AB325" s="148"/>
      <c r="AC325" s="750"/>
      <c r="AD325" s="751"/>
      <c r="AE325" s="751"/>
      <c r="AF325" s="752"/>
      <c r="AG325" s="109"/>
      <c r="AH325" s="109"/>
      <c r="AI325" s="109" t="str">
        <f>"26:serteikyo_kyoka_code:" &amp; IF(I325="■",1,IF(L325="■",6,IF(O325="■",5,IF(R325="■",7,0))))</f>
        <v>26:serteikyo_kyoka_code:0</v>
      </c>
      <c r="AJ325" s="109"/>
    </row>
    <row r="326" spans="1:36" ht="18.75" customHeight="1" x14ac:dyDescent="0.2">
      <c r="A326" s="141"/>
      <c r="B326" s="123"/>
      <c r="C326" s="140"/>
      <c r="D326" s="141"/>
      <c r="E326" s="128"/>
      <c r="F326" s="142"/>
      <c r="G326" s="128"/>
      <c r="H326" s="713" t="s">
        <v>805</v>
      </c>
      <c r="I326" s="747" t="s">
        <v>383</v>
      </c>
      <c r="J326" s="746" t="s">
        <v>250</v>
      </c>
      <c r="K326" s="746"/>
      <c r="L326" s="747" t="s">
        <v>383</v>
      </c>
      <c r="M326" s="746" t="s">
        <v>267</v>
      </c>
      <c r="N326" s="746"/>
      <c r="O326" s="378"/>
      <c r="P326" s="378"/>
      <c r="Q326" s="378"/>
      <c r="R326" s="378"/>
      <c r="S326" s="378"/>
      <c r="T326" s="378"/>
      <c r="U326" s="378"/>
      <c r="V326" s="378"/>
      <c r="W326" s="378"/>
      <c r="X326" s="379"/>
      <c r="Y326" s="154"/>
      <c r="Z326" s="147"/>
      <c r="AA326" s="147"/>
      <c r="AB326" s="148"/>
      <c r="AC326" s="750"/>
      <c r="AD326" s="751"/>
      <c r="AE326" s="751"/>
      <c r="AF326" s="752"/>
      <c r="AG326" s="109"/>
      <c r="AH326" s="109"/>
      <c r="AI326" s="109" t="str">
        <f>"26:field221:" &amp; IF(I326="■",1,IF(L326="■",2,0))</f>
        <v>26:field221:0</v>
      </c>
      <c r="AJ326" s="109"/>
    </row>
    <row r="327" spans="1:36" ht="18.75" customHeight="1" x14ac:dyDescent="0.2">
      <c r="A327" s="139"/>
      <c r="B327" s="123"/>
      <c r="C327" s="140"/>
      <c r="D327" s="141"/>
      <c r="E327" s="128"/>
      <c r="F327" s="142"/>
      <c r="G327" s="128"/>
      <c r="H327" s="737"/>
      <c r="I327" s="747"/>
      <c r="J327" s="746"/>
      <c r="K327" s="746"/>
      <c r="L327" s="747"/>
      <c r="M327" s="746"/>
      <c r="N327" s="746"/>
      <c r="O327" s="384"/>
      <c r="P327" s="384"/>
      <c r="Q327" s="384"/>
      <c r="R327" s="384"/>
      <c r="S327" s="384"/>
      <c r="T327" s="384"/>
      <c r="U327" s="384"/>
      <c r="V327" s="384"/>
      <c r="W327" s="384"/>
      <c r="X327" s="385"/>
      <c r="Y327" s="154"/>
      <c r="Z327" s="147"/>
      <c r="AA327" s="147"/>
      <c r="AB327" s="148"/>
      <c r="AC327" s="750"/>
      <c r="AD327" s="751"/>
      <c r="AE327" s="751"/>
      <c r="AF327" s="752"/>
    </row>
    <row r="328" spans="1:36" s="621" customFormat="1" ht="19.8" customHeight="1" x14ac:dyDescent="0.2">
      <c r="A328" s="139"/>
      <c r="B328" s="670"/>
      <c r="C328" s="140"/>
      <c r="D328" s="141"/>
      <c r="E328" s="128"/>
      <c r="F328" s="142"/>
      <c r="G328" s="143"/>
      <c r="H328" s="713" t="s">
        <v>790</v>
      </c>
      <c r="I328" s="642" t="s">
        <v>383</v>
      </c>
      <c r="J328" s="616" t="s">
        <v>627</v>
      </c>
      <c r="K328" s="616"/>
      <c r="L328" s="615"/>
      <c r="M328" s="644" t="s">
        <v>383</v>
      </c>
      <c r="N328" s="616" t="s">
        <v>791</v>
      </c>
      <c r="O328" s="617"/>
      <c r="P328" s="615"/>
      <c r="Q328" s="644" t="s">
        <v>383</v>
      </c>
      <c r="R328" s="618" t="s">
        <v>792</v>
      </c>
      <c r="S328" s="615"/>
      <c r="T328" s="615"/>
      <c r="U328" s="615"/>
      <c r="V328" s="618"/>
      <c r="W328" s="619"/>
      <c r="X328" s="620"/>
      <c r="Y328" s="154"/>
      <c r="Z328" s="147"/>
      <c r="AA328" s="147"/>
      <c r="AB328" s="148"/>
      <c r="AC328" s="750"/>
      <c r="AD328" s="751"/>
      <c r="AE328" s="751"/>
      <c r="AF328" s="752"/>
    </row>
    <row r="329" spans="1:36" s="621" customFormat="1" ht="21" customHeight="1" x14ac:dyDescent="0.2">
      <c r="A329" s="139"/>
      <c r="B329" s="670"/>
      <c r="C329" s="140"/>
      <c r="D329" s="141"/>
      <c r="E329" s="128"/>
      <c r="F329" s="142"/>
      <c r="G329" s="143"/>
      <c r="H329" s="714"/>
      <c r="I329" s="645" t="s">
        <v>383</v>
      </c>
      <c r="J329" s="623" t="s">
        <v>793</v>
      </c>
      <c r="K329" s="623"/>
      <c r="L329" s="622"/>
      <c r="M329" s="645" t="s">
        <v>383</v>
      </c>
      <c r="N329" s="623" t="s">
        <v>794</v>
      </c>
      <c r="O329" s="624"/>
      <c r="P329" s="622"/>
      <c r="Q329" s="645" t="s">
        <v>383</v>
      </c>
      <c r="R329" s="623" t="s">
        <v>795</v>
      </c>
      <c r="S329" s="622"/>
      <c r="T329" s="623"/>
      <c r="U329" s="645" t="s">
        <v>383</v>
      </c>
      <c r="V329" s="623" t="s">
        <v>796</v>
      </c>
      <c r="W329" s="625"/>
      <c r="X329" s="626"/>
      <c r="Y329" s="154"/>
      <c r="Z329" s="147"/>
      <c r="AA329" s="147"/>
      <c r="AB329" s="148"/>
      <c r="AC329" s="750"/>
      <c r="AD329" s="751"/>
      <c r="AE329" s="751"/>
      <c r="AF329" s="752"/>
    </row>
    <row r="330" spans="1:36" ht="18.75" customHeight="1" x14ac:dyDescent="0.2">
      <c r="A330" s="129"/>
      <c r="B330" s="116"/>
      <c r="C330" s="130"/>
      <c r="D330" s="131"/>
      <c r="E330" s="133"/>
      <c r="F330" s="131"/>
      <c r="G330" s="121"/>
      <c r="H330" s="740" t="s">
        <v>182</v>
      </c>
      <c r="I330" s="412" t="s">
        <v>383</v>
      </c>
      <c r="J330" s="413" t="s">
        <v>300</v>
      </c>
      <c r="K330" s="414"/>
      <c r="L330" s="415"/>
      <c r="M330" s="416" t="s">
        <v>383</v>
      </c>
      <c r="N330" s="413" t="s">
        <v>328</v>
      </c>
      <c r="O330" s="417"/>
      <c r="P330" s="417"/>
      <c r="Q330" s="416" t="s">
        <v>383</v>
      </c>
      <c r="R330" s="413" t="s">
        <v>329</v>
      </c>
      <c r="S330" s="417"/>
      <c r="T330" s="417"/>
      <c r="U330" s="416" t="s">
        <v>383</v>
      </c>
      <c r="V330" s="413" t="s">
        <v>330</v>
      </c>
      <c r="W330" s="417"/>
      <c r="X330" s="418"/>
      <c r="Y330" s="138" t="s">
        <v>383</v>
      </c>
      <c r="Z330" s="119" t="s">
        <v>249</v>
      </c>
      <c r="AA330" s="119"/>
      <c r="AB330" s="137"/>
      <c r="AC330" s="675"/>
      <c r="AD330" s="676"/>
      <c r="AE330" s="676"/>
      <c r="AF330" s="677"/>
      <c r="AG330" s="109" t="str">
        <f>"ser_code = '" &amp; IF(A341="■","2B","") &amp; "'"</f>
        <v>ser_code = ''</v>
      </c>
      <c r="AH330" s="109" t="str">
        <f>"2B:jininkbn_code:"&amp;IF(F340="■",1,IF(F341="■",2,IF(F342="■",3,0)))</f>
        <v>2B:jininkbn_code:0</v>
      </c>
      <c r="AI330" s="109" t="str">
        <f>"2B:yakan_kinmu_code:" &amp; IF(I330="■",1,IF(M330="■",2,IF(Q330="■",3,IF(U330="■",7,IF(I331="■",5,IF(M331="■",6,0))))))</f>
        <v>2B:yakan_kinmu_code:0</v>
      </c>
      <c r="AJ330" s="109" t="str">
        <f>"2B:field203:" &amp; IF(Y330="■",1,IF(Y331="■",2,0))</f>
        <v>2B:field203:0</v>
      </c>
    </row>
    <row r="331" spans="1:36" ht="18.75" customHeight="1" x14ac:dyDescent="0.2">
      <c r="A331" s="139"/>
      <c r="B331" s="123"/>
      <c r="C331" s="140"/>
      <c r="D331" s="141"/>
      <c r="E331" s="143"/>
      <c r="F331" s="141"/>
      <c r="G331" s="128"/>
      <c r="H331" s="739"/>
      <c r="I331" s="460" t="s">
        <v>383</v>
      </c>
      <c r="J331" s="381" t="s">
        <v>331</v>
      </c>
      <c r="K331" s="419"/>
      <c r="L331" s="382"/>
      <c r="M331" s="383" t="s">
        <v>383</v>
      </c>
      <c r="N331" s="381" t="s">
        <v>301</v>
      </c>
      <c r="O331" s="384"/>
      <c r="P331" s="384"/>
      <c r="Q331" s="384"/>
      <c r="R331" s="384"/>
      <c r="S331" s="384"/>
      <c r="T331" s="384"/>
      <c r="U331" s="384"/>
      <c r="V331" s="384"/>
      <c r="W331" s="384"/>
      <c r="X331" s="385"/>
      <c r="Y331" s="118" t="s">
        <v>383</v>
      </c>
      <c r="Z331" s="126" t="s">
        <v>255</v>
      </c>
      <c r="AA331" s="147"/>
      <c r="AB331" s="148"/>
      <c r="AC331" s="678"/>
      <c r="AD331" s="679"/>
      <c r="AE331" s="679"/>
      <c r="AF331" s="680"/>
      <c r="AG331" s="109" t="str">
        <f>"2B:sisetukbn_code:"&amp;IF(D341="■","1",0)</f>
        <v>2B:sisetukbn_code:0</v>
      </c>
      <c r="AH331" s="109"/>
      <c r="AI331" s="109"/>
      <c r="AJ331" s="109"/>
    </row>
    <row r="332" spans="1:36" ht="18.75" customHeight="1" x14ac:dyDescent="0.2">
      <c r="A332" s="139"/>
      <c r="B332" s="123"/>
      <c r="C332" s="140"/>
      <c r="D332" s="141"/>
      <c r="E332" s="143"/>
      <c r="F332" s="141"/>
      <c r="G332" s="128"/>
      <c r="H332" s="738" t="s">
        <v>93</v>
      </c>
      <c r="I332" s="374" t="s">
        <v>383</v>
      </c>
      <c r="J332" s="375" t="s">
        <v>250</v>
      </c>
      <c r="K332" s="375"/>
      <c r="L332" s="376"/>
      <c r="M332" s="377" t="s">
        <v>383</v>
      </c>
      <c r="N332" s="375" t="s">
        <v>289</v>
      </c>
      <c r="O332" s="375"/>
      <c r="P332" s="376"/>
      <c r="Q332" s="377" t="s">
        <v>383</v>
      </c>
      <c r="R332" s="378" t="s">
        <v>372</v>
      </c>
      <c r="S332" s="378"/>
      <c r="T332" s="378"/>
      <c r="U332" s="410"/>
      <c r="V332" s="376"/>
      <c r="W332" s="378"/>
      <c r="X332" s="411"/>
      <c r="Y332" s="154"/>
      <c r="Z332" s="147"/>
      <c r="AA332" s="147"/>
      <c r="AB332" s="148"/>
      <c r="AC332" s="678"/>
      <c r="AD332" s="679"/>
      <c r="AE332" s="679"/>
      <c r="AF332" s="680"/>
      <c r="AG332" s="109"/>
      <c r="AH332" s="109"/>
      <c r="AI332" s="109" t="str">
        <f>"2B:"&amp;IF(AND(I332="□",M332="□",Q332="□",I333="□",M333="□"),"ketu_doctor_code:0",IF(I332="■","ketu_doctor_code:1:field197:1:ketu_kangos_code:1:ketu_kshoku_code:1",IF(M332="■","ketu_doctor_code:2","ketu_doctor_code:1")
&amp;IF(Q332="■",":field197:2",":field197:1")
&amp;IF(I333="■",":ketu_kangos_code:2",":ketu_kangos_code:1")
&amp;IF(M333="■",":ketu_kshoku_code:2",":ketu_kshoku_code:1")))</f>
        <v>2B:ketu_doctor_code:0</v>
      </c>
      <c r="AJ332" s="109"/>
    </row>
    <row r="333" spans="1:36" ht="18.75" customHeight="1" x14ac:dyDescent="0.2">
      <c r="A333" s="139"/>
      <c r="B333" s="123"/>
      <c r="C333" s="140"/>
      <c r="D333" s="141"/>
      <c r="E333" s="143"/>
      <c r="F333" s="141"/>
      <c r="G333" s="128"/>
      <c r="H333" s="739"/>
      <c r="I333" s="460" t="s">
        <v>383</v>
      </c>
      <c r="J333" s="384" t="s">
        <v>373</v>
      </c>
      <c r="K333" s="384"/>
      <c r="L333" s="384"/>
      <c r="M333" s="383" t="s">
        <v>383</v>
      </c>
      <c r="N333" s="384" t="s">
        <v>374</v>
      </c>
      <c r="O333" s="382"/>
      <c r="P333" s="384"/>
      <c r="Q333" s="384"/>
      <c r="R333" s="382"/>
      <c r="S333" s="384"/>
      <c r="T333" s="384"/>
      <c r="U333" s="436"/>
      <c r="V333" s="382"/>
      <c r="W333" s="384"/>
      <c r="X333" s="437"/>
      <c r="Y333" s="154"/>
      <c r="Z333" s="147"/>
      <c r="AA333" s="147"/>
      <c r="AB333" s="148"/>
      <c r="AC333" s="678"/>
      <c r="AD333" s="679"/>
      <c r="AE333" s="679"/>
      <c r="AF333" s="680"/>
    </row>
    <row r="334" spans="1:36" s="109" customFormat="1" ht="18.75" customHeight="1" x14ac:dyDescent="0.2">
      <c r="A334" s="139"/>
      <c r="B334" s="123"/>
      <c r="C334" s="248"/>
      <c r="D334" s="249"/>
      <c r="E334" s="128"/>
      <c r="F334" s="142"/>
      <c r="G334" s="143"/>
      <c r="H334" s="364" t="s">
        <v>107</v>
      </c>
      <c r="I334" s="349" t="s">
        <v>383</v>
      </c>
      <c r="J334" s="350" t="s">
        <v>395</v>
      </c>
      <c r="K334" s="351"/>
      <c r="L334" s="352"/>
      <c r="M334" s="353" t="s">
        <v>383</v>
      </c>
      <c r="N334" s="350" t="s">
        <v>396</v>
      </c>
      <c r="O334" s="351"/>
      <c r="P334" s="351"/>
      <c r="Q334" s="351"/>
      <c r="R334" s="351"/>
      <c r="S334" s="351"/>
      <c r="T334" s="351"/>
      <c r="U334" s="351"/>
      <c r="V334" s="351"/>
      <c r="W334" s="351"/>
      <c r="X334" s="365"/>
      <c r="Y334" s="154"/>
      <c r="Z334" s="147"/>
      <c r="AA334" s="147"/>
      <c r="AB334" s="148"/>
      <c r="AC334" s="678"/>
      <c r="AD334" s="679"/>
      <c r="AE334" s="679"/>
      <c r="AF334" s="680"/>
      <c r="AI334" s="109" t="str">
        <f>"2B:sintaikousoku_code:" &amp; IF(I334="■",1,IF(M334="■",2,0))</f>
        <v>2B:sintaikousoku_code:0</v>
      </c>
    </row>
    <row r="335" spans="1:36" ht="19.5" customHeight="1" x14ac:dyDescent="0.2">
      <c r="A335" s="139"/>
      <c r="B335" s="123"/>
      <c r="C335" s="140"/>
      <c r="D335" s="141"/>
      <c r="E335" s="128"/>
      <c r="F335" s="142"/>
      <c r="G335" s="143"/>
      <c r="H335" s="348" t="s">
        <v>430</v>
      </c>
      <c r="I335" s="374" t="s">
        <v>383</v>
      </c>
      <c r="J335" s="350" t="s">
        <v>395</v>
      </c>
      <c r="K335" s="351"/>
      <c r="L335" s="352"/>
      <c r="M335" s="353" t="s">
        <v>383</v>
      </c>
      <c r="N335" s="350" t="s">
        <v>431</v>
      </c>
      <c r="O335" s="350"/>
      <c r="P335" s="350"/>
      <c r="Q335" s="355"/>
      <c r="R335" s="355"/>
      <c r="S335" s="355"/>
      <c r="T335" s="355"/>
      <c r="U335" s="355"/>
      <c r="V335" s="355"/>
      <c r="W335" s="355"/>
      <c r="X335" s="356"/>
      <c r="Y335" s="147"/>
      <c r="Z335" s="147"/>
      <c r="AA335" s="147"/>
      <c r="AB335" s="148"/>
      <c r="AC335" s="678"/>
      <c r="AD335" s="679"/>
      <c r="AE335" s="679"/>
      <c r="AF335" s="680"/>
      <c r="AI335" s="109" t="str">
        <f>"2B:field223:" &amp; IF(I335="■",1,IF(M335="■",2,0))</f>
        <v>2B:field223:0</v>
      </c>
    </row>
    <row r="336" spans="1:36" ht="19.5" customHeight="1" x14ac:dyDescent="0.2">
      <c r="A336" s="139"/>
      <c r="B336" s="123"/>
      <c r="C336" s="140"/>
      <c r="D336" s="141"/>
      <c r="E336" s="128"/>
      <c r="F336" s="142"/>
      <c r="G336" s="143"/>
      <c r="H336" s="348" t="s">
        <v>448</v>
      </c>
      <c r="I336" s="374" t="s">
        <v>383</v>
      </c>
      <c r="J336" s="350" t="s">
        <v>395</v>
      </c>
      <c r="K336" s="351"/>
      <c r="L336" s="352"/>
      <c r="M336" s="353" t="s">
        <v>383</v>
      </c>
      <c r="N336" s="350" t="s">
        <v>431</v>
      </c>
      <c r="O336" s="350"/>
      <c r="P336" s="350"/>
      <c r="Q336" s="355"/>
      <c r="R336" s="355"/>
      <c r="S336" s="355"/>
      <c r="T336" s="355"/>
      <c r="U336" s="355"/>
      <c r="V336" s="355"/>
      <c r="W336" s="355"/>
      <c r="X336" s="356"/>
      <c r="Y336" s="147"/>
      <c r="Z336" s="147"/>
      <c r="AA336" s="147"/>
      <c r="AB336" s="148"/>
      <c r="AC336" s="678"/>
      <c r="AD336" s="679"/>
      <c r="AE336" s="679"/>
      <c r="AF336" s="680"/>
      <c r="AI336" s="109" t="str">
        <f>"2B:field232:" &amp; IF(I336="■",1,IF(M336="■",2,0))</f>
        <v>2B:field232:0</v>
      </c>
    </row>
    <row r="337" spans="1:35" ht="18.75" customHeight="1" x14ac:dyDescent="0.2">
      <c r="A337" s="139"/>
      <c r="B337" s="123"/>
      <c r="C337" s="140"/>
      <c r="D337" s="141"/>
      <c r="E337" s="143"/>
      <c r="F337" s="141"/>
      <c r="G337" s="128"/>
      <c r="H337" s="364" t="s">
        <v>164</v>
      </c>
      <c r="I337" s="374" t="s">
        <v>383</v>
      </c>
      <c r="J337" s="350" t="s">
        <v>300</v>
      </c>
      <c r="K337" s="351"/>
      <c r="L337" s="352"/>
      <c r="M337" s="353" t="s">
        <v>383</v>
      </c>
      <c r="N337" s="350" t="s">
        <v>332</v>
      </c>
      <c r="O337" s="355"/>
      <c r="P337" s="355"/>
      <c r="Q337" s="355"/>
      <c r="R337" s="355"/>
      <c r="S337" s="355"/>
      <c r="T337" s="355"/>
      <c r="U337" s="355"/>
      <c r="V337" s="355"/>
      <c r="W337" s="355"/>
      <c r="X337" s="356"/>
      <c r="Y337" s="154"/>
      <c r="Z337" s="147"/>
      <c r="AA337" s="147"/>
      <c r="AB337" s="148"/>
      <c r="AC337" s="678"/>
      <c r="AD337" s="679"/>
      <c r="AE337" s="679"/>
      <c r="AF337" s="680"/>
      <c r="AI337" s="109" t="str">
        <f>"2B:field190:" &amp; IF(I337="■",1,IF(M337="■",2,0))</f>
        <v>2B:field190:0</v>
      </c>
    </row>
    <row r="338" spans="1:35" ht="18.75" customHeight="1" x14ac:dyDescent="0.2">
      <c r="A338" s="139"/>
      <c r="B338" s="123"/>
      <c r="C338" s="140"/>
      <c r="D338" s="141"/>
      <c r="E338" s="143"/>
      <c r="F338" s="141"/>
      <c r="G338" s="128"/>
      <c r="H338" s="364" t="s">
        <v>165</v>
      </c>
      <c r="I338" s="374" t="s">
        <v>383</v>
      </c>
      <c r="J338" s="350" t="s">
        <v>300</v>
      </c>
      <c r="K338" s="351"/>
      <c r="L338" s="352"/>
      <c r="M338" s="353" t="s">
        <v>383</v>
      </c>
      <c r="N338" s="350" t="s">
        <v>332</v>
      </c>
      <c r="O338" s="355"/>
      <c r="P338" s="355"/>
      <c r="Q338" s="355"/>
      <c r="R338" s="355"/>
      <c r="S338" s="355"/>
      <c r="T338" s="355"/>
      <c r="U338" s="355"/>
      <c r="V338" s="355"/>
      <c r="W338" s="355"/>
      <c r="X338" s="356"/>
      <c r="Y338" s="154"/>
      <c r="Z338" s="147"/>
      <c r="AA338" s="147"/>
      <c r="AB338" s="148"/>
      <c r="AC338" s="678"/>
      <c r="AD338" s="679"/>
      <c r="AE338" s="679"/>
      <c r="AF338" s="680"/>
      <c r="AI338" s="109" t="str">
        <f>"2B:field191:" &amp; IF(I338="■",1,IF(M338="■",2,0))</f>
        <v>2B:field191:0</v>
      </c>
    </row>
    <row r="339" spans="1:35" ht="18.75" customHeight="1" x14ac:dyDescent="0.2">
      <c r="A339" s="139"/>
      <c r="B339" s="123"/>
      <c r="C339" s="140"/>
      <c r="D339" s="141"/>
      <c r="E339" s="143"/>
      <c r="F339" s="141"/>
      <c r="G339" s="128"/>
      <c r="H339" s="364" t="s">
        <v>486</v>
      </c>
      <c r="I339" s="374" t="s">
        <v>383</v>
      </c>
      <c r="J339" s="350" t="s">
        <v>250</v>
      </c>
      <c r="K339" s="351"/>
      <c r="L339" s="353" t="s">
        <v>383</v>
      </c>
      <c r="M339" s="350" t="s">
        <v>267</v>
      </c>
      <c r="N339" s="355"/>
      <c r="O339" s="355"/>
      <c r="P339" s="355"/>
      <c r="Q339" s="351"/>
      <c r="R339" s="355"/>
      <c r="S339" s="355"/>
      <c r="T339" s="355"/>
      <c r="U339" s="355"/>
      <c r="V339" s="355"/>
      <c r="W339" s="355"/>
      <c r="X339" s="356"/>
      <c r="Y339" s="154"/>
      <c r="Z339" s="147"/>
      <c r="AA339" s="147"/>
      <c r="AB339" s="148"/>
      <c r="AC339" s="678"/>
      <c r="AD339" s="679"/>
      <c r="AE339" s="679"/>
      <c r="AF339" s="680"/>
      <c r="AI339" s="109" t="str">
        <f>"2B:jyakuninti_uke_code:" &amp; IF(I339="■",1,IF(L339="■",2,0))</f>
        <v>2B:jyakuninti_uke_code:0</v>
      </c>
    </row>
    <row r="340" spans="1:35" ht="18.75" customHeight="1" x14ac:dyDescent="0.2">
      <c r="A340" s="139"/>
      <c r="B340" s="123"/>
      <c r="C340" s="140"/>
      <c r="D340" s="141"/>
      <c r="E340" s="143"/>
      <c r="F340" s="125" t="s">
        <v>383</v>
      </c>
      <c r="G340" s="128" t="s">
        <v>497</v>
      </c>
      <c r="H340" s="364" t="s">
        <v>95</v>
      </c>
      <c r="I340" s="374" t="s">
        <v>383</v>
      </c>
      <c r="J340" s="350" t="s">
        <v>265</v>
      </c>
      <c r="K340" s="351"/>
      <c r="L340" s="352"/>
      <c r="M340" s="353" t="s">
        <v>383</v>
      </c>
      <c r="N340" s="350" t="s">
        <v>266</v>
      </c>
      <c r="O340" s="355"/>
      <c r="P340" s="355"/>
      <c r="Q340" s="351"/>
      <c r="R340" s="355"/>
      <c r="S340" s="355"/>
      <c r="T340" s="355"/>
      <c r="U340" s="355"/>
      <c r="V340" s="355"/>
      <c r="W340" s="355"/>
      <c r="X340" s="356"/>
      <c r="Y340" s="154"/>
      <c r="Z340" s="147"/>
      <c r="AA340" s="147"/>
      <c r="AB340" s="148"/>
      <c r="AC340" s="678"/>
      <c r="AD340" s="679"/>
      <c r="AE340" s="679"/>
      <c r="AF340" s="680"/>
      <c r="AI340" s="109" t="str">
        <f>"2B:sougei_code:" &amp; IF(I340="■",1,IF(M340="■",2,0))</f>
        <v>2B:sougei_code:0</v>
      </c>
    </row>
    <row r="341" spans="1:35" ht="19.5" customHeight="1" x14ac:dyDescent="0.2">
      <c r="A341" s="125" t="s">
        <v>383</v>
      </c>
      <c r="B341" s="123" t="s">
        <v>498</v>
      </c>
      <c r="C341" s="140" t="s">
        <v>489</v>
      </c>
      <c r="D341" s="125" t="s">
        <v>383</v>
      </c>
      <c r="E341" s="143" t="s">
        <v>499</v>
      </c>
      <c r="F341" s="125" t="s">
        <v>383</v>
      </c>
      <c r="G341" s="128" t="s">
        <v>369</v>
      </c>
      <c r="H341" s="348" t="s">
        <v>433</v>
      </c>
      <c r="I341" s="374" t="s">
        <v>383</v>
      </c>
      <c r="J341" s="350" t="s">
        <v>250</v>
      </c>
      <c r="K341" s="350"/>
      <c r="L341" s="353" t="s">
        <v>383</v>
      </c>
      <c r="M341" s="350" t="s">
        <v>267</v>
      </c>
      <c r="N341" s="350"/>
      <c r="O341" s="355"/>
      <c r="P341" s="350"/>
      <c r="Q341" s="355"/>
      <c r="R341" s="355"/>
      <c r="S341" s="355"/>
      <c r="T341" s="355"/>
      <c r="U341" s="355"/>
      <c r="V341" s="355"/>
      <c r="W341" s="355"/>
      <c r="X341" s="356"/>
      <c r="Y341" s="147"/>
      <c r="Z341" s="147"/>
      <c r="AA341" s="147"/>
      <c r="AB341" s="148"/>
      <c r="AC341" s="678"/>
      <c r="AD341" s="679"/>
      <c r="AE341" s="679"/>
      <c r="AF341" s="680"/>
      <c r="AI341" s="109" t="str">
        <f>"2B:field224:" &amp; IF(I341="■",1,IF(L341="■",2,0))</f>
        <v>2B:field224:0</v>
      </c>
    </row>
    <row r="342" spans="1:35" ht="18.75" customHeight="1" x14ac:dyDescent="0.2">
      <c r="A342" s="139"/>
      <c r="B342" s="123"/>
      <c r="C342" s="140"/>
      <c r="D342" s="141"/>
      <c r="E342" s="143"/>
      <c r="F342" s="125" t="s">
        <v>383</v>
      </c>
      <c r="G342" s="128" t="s">
        <v>370</v>
      </c>
      <c r="H342" s="364" t="s">
        <v>112</v>
      </c>
      <c r="I342" s="374" t="s">
        <v>383</v>
      </c>
      <c r="J342" s="350" t="s">
        <v>250</v>
      </c>
      <c r="K342" s="351"/>
      <c r="L342" s="353" t="s">
        <v>383</v>
      </c>
      <c r="M342" s="350" t="s">
        <v>267</v>
      </c>
      <c r="N342" s="355"/>
      <c r="O342" s="355"/>
      <c r="P342" s="355"/>
      <c r="Q342" s="351"/>
      <c r="R342" s="355"/>
      <c r="S342" s="355"/>
      <c r="T342" s="355"/>
      <c r="U342" s="355"/>
      <c r="V342" s="355"/>
      <c r="W342" s="355"/>
      <c r="X342" s="356"/>
      <c r="Y342" s="154"/>
      <c r="Z342" s="147"/>
      <c r="AA342" s="147"/>
      <c r="AB342" s="148"/>
      <c r="AC342" s="678"/>
      <c r="AD342" s="679"/>
      <c r="AE342" s="679"/>
      <c r="AF342" s="680"/>
      <c r="AI342" s="109" t="str">
        <f>"2B:ryouyoushoku_code:" &amp; IF(I342="■",1,IF(L342="■",2,0))</f>
        <v>2B:ryouyoushoku_code:0</v>
      </c>
    </row>
    <row r="343" spans="1:35" ht="18.75" customHeight="1" x14ac:dyDescent="0.2">
      <c r="A343" s="139"/>
      <c r="B343" s="123"/>
      <c r="C343" s="140"/>
      <c r="D343" s="141"/>
      <c r="E343" s="143"/>
      <c r="F343" s="141"/>
      <c r="G343" s="128"/>
      <c r="H343" s="364" t="s">
        <v>116</v>
      </c>
      <c r="I343" s="374" t="s">
        <v>383</v>
      </c>
      <c r="J343" s="350" t="s">
        <v>250</v>
      </c>
      <c r="K343" s="350"/>
      <c r="L343" s="353" t="s">
        <v>383</v>
      </c>
      <c r="M343" s="350" t="s">
        <v>251</v>
      </c>
      <c r="N343" s="350"/>
      <c r="O343" s="353" t="s">
        <v>383</v>
      </c>
      <c r="P343" s="350" t="s">
        <v>252</v>
      </c>
      <c r="Q343" s="355"/>
      <c r="R343" s="355"/>
      <c r="S343" s="355"/>
      <c r="T343" s="355"/>
      <c r="U343" s="355"/>
      <c r="V343" s="355"/>
      <c r="W343" s="355"/>
      <c r="X343" s="356"/>
      <c r="Y343" s="154"/>
      <c r="Z343" s="147"/>
      <c r="AA343" s="147"/>
      <c r="AB343" s="148"/>
      <c r="AC343" s="678"/>
      <c r="AD343" s="679"/>
      <c r="AE343" s="679"/>
      <c r="AF343" s="680"/>
      <c r="AI343" s="109" t="str">
        <f>"2B:ninti_senmoncare_code:" &amp; IF(I343="■",1,IF(O343="■",3,IF(L343="■",2,0)))</f>
        <v>2B:ninti_senmoncare_code:0</v>
      </c>
    </row>
    <row r="344" spans="1:35" ht="18.75" customHeight="1" x14ac:dyDescent="0.2">
      <c r="A344" s="139"/>
      <c r="B344" s="123"/>
      <c r="C344" s="140"/>
      <c r="D344" s="141"/>
      <c r="E344" s="143"/>
      <c r="F344" s="141"/>
      <c r="G344" s="128"/>
      <c r="H344" s="738" t="s">
        <v>149</v>
      </c>
      <c r="I344" s="374" t="s">
        <v>383</v>
      </c>
      <c r="J344" s="375" t="s">
        <v>320</v>
      </c>
      <c r="K344" s="375"/>
      <c r="L344" s="410"/>
      <c r="M344" s="410"/>
      <c r="N344" s="410"/>
      <c r="O344" s="410"/>
      <c r="P344" s="377" t="s">
        <v>383</v>
      </c>
      <c r="Q344" s="375" t="s">
        <v>321</v>
      </c>
      <c r="R344" s="410"/>
      <c r="S344" s="410"/>
      <c r="T344" s="410"/>
      <c r="U344" s="410"/>
      <c r="V344" s="410"/>
      <c r="W344" s="410"/>
      <c r="X344" s="411"/>
      <c r="Y344" s="154"/>
      <c r="Z344" s="147"/>
      <c r="AA344" s="147"/>
      <c r="AB344" s="148"/>
      <c r="AC344" s="678"/>
      <c r="AD344" s="679"/>
      <c r="AE344" s="679"/>
      <c r="AF344" s="680"/>
      <c r="AI344" s="109" t="str">
        <f>"2B:" &amp; IF(AND(I344="□",P344="□",I345="□"),"tokusin_jyusho_code:0:tokusin_yakuzai_code:0:shuudan_comu_code:0",IF(I344="■","tokusin_jyusho_code:2","tokusin_jyusho_code:1")
&amp;IF(P344="■",":tokusin_yakuzai_code:2",":tokusin_yakuzai_code:1")
&amp;IF(I345="■",":shuudan_comu_code:2",":shuudan_comu_code:1"))</f>
        <v>2B:tokusin_jyusho_code:0:tokusin_yakuzai_code:0:shuudan_comu_code:0</v>
      </c>
    </row>
    <row r="345" spans="1:35" ht="18.75" customHeight="1" x14ac:dyDescent="0.2">
      <c r="A345" s="139"/>
      <c r="B345" s="123"/>
      <c r="C345" s="140"/>
      <c r="D345" s="141"/>
      <c r="E345" s="143"/>
      <c r="F345" s="141"/>
      <c r="G345" s="128"/>
      <c r="H345" s="739"/>
      <c r="I345" s="460" t="s">
        <v>383</v>
      </c>
      <c r="J345" s="381" t="s">
        <v>334</v>
      </c>
      <c r="K345" s="436"/>
      <c r="L345" s="436"/>
      <c r="M345" s="436"/>
      <c r="N345" s="436"/>
      <c r="O345" s="436"/>
      <c r="P345" s="436"/>
      <c r="Q345" s="384"/>
      <c r="R345" s="436"/>
      <c r="S345" s="436"/>
      <c r="T345" s="436"/>
      <c r="U345" s="436"/>
      <c r="V345" s="436"/>
      <c r="W345" s="436"/>
      <c r="X345" s="437"/>
      <c r="Y345" s="154"/>
      <c r="Z345" s="147"/>
      <c r="AA345" s="147"/>
      <c r="AB345" s="148"/>
      <c r="AC345" s="678"/>
      <c r="AD345" s="679"/>
      <c r="AE345" s="679"/>
      <c r="AF345" s="680"/>
      <c r="AI345" s="109"/>
    </row>
    <row r="346" spans="1:35" ht="18.75" customHeight="1" x14ac:dyDescent="0.2">
      <c r="A346" s="139"/>
      <c r="B346" s="123"/>
      <c r="C346" s="140"/>
      <c r="D346" s="141"/>
      <c r="E346" s="143"/>
      <c r="F346" s="141"/>
      <c r="G346" s="128"/>
      <c r="H346" s="738" t="s">
        <v>103</v>
      </c>
      <c r="I346" s="374" t="s">
        <v>383</v>
      </c>
      <c r="J346" s="375" t="s">
        <v>335</v>
      </c>
      <c r="K346" s="438"/>
      <c r="L346" s="376"/>
      <c r="M346" s="377" t="s">
        <v>383</v>
      </c>
      <c r="N346" s="375" t="s">
        <v>336</v>
      </c>
      <c r="O346" s="410"/>
      <c r="P346" s="410"/>
      <c r="Q346" s="377" t="s">
        <v>383</v>
      </c>
      <c r="R346" s="375" t="s">
        <v>337</v>
      </c>
      <c r="S346" s="410"/>
      <c r="T346" s="410"/>
      <c r="U346" s="410"/>
      <c r="V346" s="410"/>
      <c r="W346" s="410"/>
      <c r="X346" s="411"/>
      <c r="Y346" s="154"/>
      <c r="Z346" s="147"/>
      <c r="AA346" s="147"/>
      <c r="AB346" s="148"/>
      <c r="AC346" s="678"/>
      <c r="AD346" s="679"/>
      <c r="AE346" s="679"/>
      <c r="AF346" s="680"/>
      <c r="AI346" s="109" t="str">
        <f>"2B:"&amp;IF(AND(I346="□",M346="□",Q346="□",I347="□",Q347="□"),"koriha_rryoho1_code:0:koriha_sryoho_code:0:koriha_gengo_code:0:riha_seisin_code:0:koriha_other_code:0",IF(I346="■","koriha_rryoho1_code:2","koriha_rryoho1_code:1")
&amp;IF(M346="■",":koriha_sryoho_code:2",":koriha_sryoho_code:1")
&amp;IF(Q346="■",":koriha_gengo_code:2",":koriha_gengo_code:1")
&amp;IF(I347="■",":riha_seisin_code:2",":riha_seisin_code:1")
&amp;IF(Q347="■",":koriha_other_code:2",":koriha_other_code:1"))</f>
        <v>2B:koriha_rryoho1_code:0:koriha_sryoho_code:0:koriha_gengo_code:0:riha_seisin_code:0:koriha_other_code:0</v>
      </c>
    </row>
    <row r="347" spans="1:35" ht="18.75" customHeight="1" x14ac:dyDescent="0.2">
      <c r="A347" s="139"/>
      <c r="B347" s="123"/>
      <c r="C347" s="140"/>
      <c r="D347" s="141"/>
      <c r="E347" s="143"/>
      <c r="F347" s="141"/>
      <c r="G347" s="128"/>
      <c r="H347" s="739"/>
      <c r="I347" s="460" t="s">
        <v>383</v>
      </c>
      <c r="J347" s="381" t="s">
        <v>338</v>
      </c>
      <c r="K347" s="436"/>
      <c r="L347" s="436"/>
      <c r="M347" s="436"/>
      <c r="N347" s="436"/>
      <c r="O347" s="436"/>
      <c r="P347" s="436"/>
      <c r="Q347" s="383" t="s">
        <v>383</v>
      </c>
      <c r="R347" s="381" t="s">
        <v>339</v>
      </c>
      <c r="S347" s="384"/>
      <c r="T347" s="436"/>
      <c r="U347" s="436"/>
      <c r="V347" s="436"/>
      <c r="W347" s="436"/>
      <c r="X347" s="437"/>
      <c r="Y347" s="154"/>
      <c r="Z347" s="147"/>
      <c r="AA347" s="147"/>
      <c r="AB347" s="148"/>
      <c r="AC347" s="678"/>
      <c r="AD347" s="679"/>
      <c r="AE347" s="679"/>
      <c r="AF347" s="680"/>
      <c r="AI347" s="109"/>
    </row>
    <row r="348" spans="1:35" ht="18.75" customHeight="1" x14ac:dyDescent="0.2">
      <c r="A348" s="139"/>
      <c r="B348" s="123"/>
      <c r="C348" s="140"/>
      <c r="D348" s="141"/>
      <c r="E348" s="143"/>
      <c r="F348" s="141"/>
      <c r="G348" s="128"/>
      <c r="H348" s="435" t="s">
        <v>442</v>
      </c>
      <c r="I348" s="374" t="s">
        <v>383</v>
      </c>
      <c r="J348" s="350" t="s">
        <v>250</v>
      </c>
      <c r="K348" s="350"/>
      <c r="L348" s="353" t="s">
        <v>383</v>
      </c>
      <c r="M348" s="350" t="s">
        <v>251</v>
      </c>
      <c r="N348" s="350"/>
      <c r="O348" s="353" t="s">
        <v>383</v>
      </c>
      <c r="P348" s="350" t="s">
        <v>252</v>
      </c>
      <c r="Q348" s="355"/>
      <c r="R348" s="355"/>
      <c r="S348" s="355"/>
      <c r="T348" s="355"/>
      <c r="U348" s="410"/>
      <c r="V348" s="410"/>
      <c r="W348" s="410"/>
      <c r="X348" s="411"/>
      <c r="Y348" s="154"/>
      <c r="Z348" s="147"/>
      <c r="AA348" s="147"/>
      <c r="AB348" s="148"/>
      <c r="AC348" s="678"/>
      <c r="AD348" s="679"/>
      <c r="AE348" s="679"/>
      <c r="AF348" s="680"/>
      <c r="AI348" s="109" t="str">
        <f>"2B:field225:" &amp; IF(I348="■",1,IF(L348="■",2,IF(O348="■",3,0)))</f>
        <v>2B:field225:0</v>
      </c>
    </row>
    <row r="349" spans="1:35" ht="18.75" customHeight="1" x14ac:dyDescent="0.2">
      <c r="A349" s="139"/>
      <c r="B349" s="123"/>
      <c r="C349" s="140"/>
      <c r="D349" s="141"/>
      <c r="E349" s="143"/>
      <c r="F349" s="141"/>
      <c r="G349" s="128"/>
      <c r="H349" s="364" t="s">
        <v>118</v>
      </c>
      <c r="I349" s="374" t="s">
        <v>383</v>
      </c>
      <c r="J349" s="350" t="s">
        <v>250</v>
      </c>
      <c r="K349" s="350"/>
      <c r="L349" s="353" t="s">
        <v>383</v>
      </c>
      <c r="M349" s="350" t="s">
        <v>258</v>
      </c>
      <c r="N349" s="350"/>
      <c r="O349" s="353" t="s">
        <v>383</v>
      </c>
      <c r="P349" s="350" t="s">
        <v>259</v>
      </c>
      <c r="Q349" s="420"/>
      <c r="R349" s="353" t="s">
        <v>383</v>
      </c>
      <c r="S349" s="350" t="s">
        <v>283</v>
      </c>
      <c r="T349" s="420"/>
      <c r="U349" s="420"/>
      <c r="V349" s="420"/>
      <c r="W349" s="420"/>
      <c r="X349" s="440"/>
      <c r="Y349" s="154"/>
      <c r="Z349" s="147"/>
      <c r="AA349" s="147"/>
      <c r="AB349" s="148"/>
      <c r="AC349" s="678"/>
      <c r="AD349" s="679"/>
      <c r="AE349" s="679"/>
      <c r="AF349" s="680"/>
      <c r="AI349" s="109" t="str">
        <f>"2B:serteikyo_kyoka_code:" &amp; IF(I349="■",1,IF(L349="■",6,IF(O349="■",5,IF(R349="■",7,0))))</f>
        <v>2B:serteikyo_kyoka_code:0</v>
      </c>
    </row>
    <row r="350" spans="1:35" ht="18.75" customHeight="1" x14ac:dyDescent="0.2">
      <c r="A350" s="139"/>
      <c r="B350" s="123"/>
      <c r="C350" s="140"/>
      <c r="D350" s="141"/>
      <c r="E350" s="143"/>
      <c r="F350" s="141"/>
      <c r="G350" s="128"/>
      <c r="H350" s="713" t="s">
        <v>805</v>
      </c>
      <c r="I350" s="747" t="s">
        <v>383</v>
      </c>
      <c r="J350" s="746" t="s">
        <v>250</v>
      </c>
      <c r="K350" s="746"/>
      <c r="L350" s="747" t="s">
        <v>383</v>
      </c>
      <c r="M350" s="746" t="s">
        <v>267</v>
      </c>
      <c r="N350" s="746"/>
      <c r="O350" s="378"/>
      <c r="P350" s="378"/>
      <c r="Q350" s="378"/>
      <c r="R350" s="378"/>
      <c r="S350" s="378"/>
      <c r="T350" s="378"/>
      <c r="U350" s="378"/>
      <c r="V350" s="378"/>
      <c r="W350" s="378"/>
      <c r="X350" s="379"/>
      <c r="Y350" s="154"/>
      <c r="Z350" s="147"/>
      <c r="AA350" s="147"/>
      <c r="AB350" s="148"/>
      <c r="AC350" s="678"/>
      <c r="AD350" s="679"/>
      <c r="AE350" s="679"/>
      <c r="AF350" s="680"/>
      <c r="AI350" s="109" t="str">
        <f>"2B:field221:" &amp; IF(I350="■",1,IF(L350="■",2,0))</f>
        <v>2B:field221:0</v>
      </c>
    </row>
    <row r="351" spans="1:35" ht="18.75" customHeight="1" x14ac:dyDescent="0.2">
      <c r="A351" s="139"/>
      <c r="B351" s="123"/>
      <c r="C351" s="140"/>
      <c r="D351" s="141"/>
      <c r="E351" s="143"/>
      <c r="F351" s="141"/>
      <c r="G351" s="128"/>
      <c r="H351" s="737"/>
      <c r="I351" s="747"/>
      <c r="J351" s="746"/>
      <c r="K351" s="746"/>
      <c r="L351" s="747"/>
      <c r="M351" s="746"/>
      <c r="N351" s="746"/>
      <c r="O351" s="384"/>
      <c r="P351" s="384"/>
      <c r="Q351" s="384"/>
      <c r="R351" s="384"/>
      <c r="S351" s="384"/>
      <c r="T351" s="384"/>
      <c r="U351" s="384"/>
      <c r="V351" s="384"/>
      <c r="W351" s="384"/>
      <c r="X351" s="385"/>
      <c r="Y351" s="154"/>
      <c r="Z351" s="147"/>
      <c r="AA351" s="147"/>
      <c r="AB351" s="148"/>
      <c r="AC351" s="678"/>
      <c r="AD351" s="679"/>
      <c r="AE351" s="679"/>
      <c r="AF351" s="680"/>
    </row>
    <row r="352" spans="1:35" s="621" customFormat="1" ht="19.8" customHeight="1" x14ac:dyDescent="0.2">
      <c r="A352" s="139"/>
      <c r="B352" s="670"/>
      <c r="C352" s="140"/>
      <c r="D352" s="141"/>
      <c r="E352" s="128"/>
      <c r="F352" s="142"/>
      <c r="G352" s="143"/>
      <c r="H352" s="713" t="s">
        <v>790</v>
      </c>
      <c r="I352" s="642" t="s">
        <v>383</v>
      </c>
      <c r="J352" s="616" t="s">
        <v>627</v>
      </c>
      <c r="K352" s="616"/>
      <c r="L352" s="615"/>
      <c r="M352" s="644" t="s">
        <v>383</v>
      </c>
      <c r="N352" s="616" t="s">
        <v>791</v>
      </c>
      <c r="O352" s="617"/>
      <c r="P352" s="615"/>
      <c r="Q352" s="644" t="s">
        <v>383</v>
      </c>
      <c r="R352" s="618" t="s">
        <v>792</v>
      </c>
      <c r="S352" s="615"/>
      <c r="T352" s="615"/>
      <c r="U352" s="615"/>
      <c r="V352" s="618"/>
      <c r="W352" s="619"/>
      <c r="X352" s="620"/>
      <c r="Y352" s="154"/>
      <c r="Z352" s="147"/>
      <c r="AA352" s="147"/>
      <c r="AB352" s="148"/>
      <c r="AC352" s="678"/>
      <c r="AD352" s="679"/>
      <c r="AE352" s="679"/>
      <c r="AF352" s="680"/>
    </row>
    <row r="353" spans="1:36" s="621" customFormat="1" ht="21" customHeight="1" x14ac:dyDescent="0.2">
      <c r="A353" s="139"/>
      <c r="B353" s="670"/>
      <c r="C353" s="140"/>
      <c r="D353" s="141"/>
      <c r="E353" s="128"/>
      <c r="F353" s="142"/>
      <c r="G353" s="143"/>
      <c r="H353" s="714"/>
      <c r="I353" s="645" t="s">
        <v>383</v>
      </c>
      <c r="J353" s="623" t="s">
        <v>793</v>
      </c>
      <c r="K353" s="623"/>
      <c r="L353" s="622"/>
      <c r="M353" s="645" t="s">
        <v>383</v>
      </c>
      <c r="N353" s="623" t="s">
        <v>794</v>
      </c>
      <c r="O353" s="624"/>
      <c r="P353" s="622"/>
      <c r="Q353" s="645" t="s">
        <v>383</v>
      </c>
      <c r="R353" s="623" t="s">
        <v>795</v>
      </c>
      <c r="S353" s="622"/>
      <c r="T353" s="623"/>
      <c r="U353" s="645" t="s">
        <v>383</v>
      </c>
      <c r="V353" s="623" t="s">
        <v>796</v>
      </c>
      <c r="W353" s="625"/>
      <c r="X353" s="626"/>
      <c r="Y353" s="154"/>
      <c r="Z353" s="147"/>
      <c r="AA353" s="147"/>
      <c r="AB353" s="148"/>
      <c r="AC353" s="678"/>
      <c r="AD353" s="679"/>
      <c r="AE353" s="679"/>
      <c r="AF353" s="680"/>
    </row>
    <row r="354" spans="1:36" ht="18.75" customHeight="1" x14ac:dyDescent="0.2">
      <c r="A354" s="129"/>
      <c r="B354" s="116"/>
      <c r="C354" s="130"/>
      <c r="D354" s="131"/>
      <c r="E354" s="133"/>
      <c r="F354" s="131"/>
      <c r="G354" s="121"/>
      <c r="H354" s="740" t="s">
        <v>97</v>
      </c>
      <c r="I354" s="374" t="s">
        <v>383</v>
      </c>
      <c r="J354" s="413" t="s">
        <v>300</v>
      </c>
      <c r="K354" s="414"/>
      <c r="L354" s="415"/>
      <c r="M354" s="416" t="s">
        <v>383</v>
      </c>
      <c r="N354" s="413" t="s">
        <v>328</v>
      </c>
      <c r="O354" s="417"/>
      <c r="P354" s="417"/>
      <c r="Q354" s="416" t="s">
        <v>383</v>
      </c>
      <c r="R354" s="413" t="s">
        <v>329</v>
      </c>
      <c r="S354" s="417"/>
      <c r="T354" s="417"/>
      <c r="U354" s="416" t="s">
        <v>383</v>
      </c>
      <c r="V354" s="413" t="s">
        <v>330</v>
      </c>
      <c r="W354" s="417"/>
      <c r="X354" s="418"/>
      <c r="Y354" s="134" t="s">
        <v>383</v>
      </c>
      <c r="Z354" s="119" t="s">
        <v>249</v>
      </c>
      <c r="AA354" s="119"/>
      <c r="AB354" s="137"/>
      <c r="AC354" s="675"/>
      <c r="AD354" s="676"/>
      <c r="AE354" s="676"/>
      <c r="AF354" s="677"/>
      <c r="AG354" s="109" t="str">
        <f>"ser_code = '" &amp; IF(A365="■","2B","") &amp; "'"</f>
        <v>ser_code = ''</v>
      </c>
      <c r="AH354" s="109" t="str">
        <f>"2B:jininkbn_code:"&amp;IF(F364="■",1,IF(F365="■",2,IF(F366="■",3,0)))</f>
        <v>2B:jininkbn_code:0</v>
      </c>
      <c r="AI354" s="109" t="str">
        <f>"2B:yakan_kinmu_code:" &amp; IF(I354="■",1,IF(M354="■",2,IF(Q354="■",3,IF(U354="■",7,IF(I355="■",5,IF(M355="■",6,0))))))</f>
        <v>2B:yakan_kinmu_code:0</v>
      </c>
      <c r="AJ354" s="109" t="str">
        <f>"2B:field203:" &amp; IF(Y354="■",1,IF(Y355="■",2,0))</f>
        <v>2B:field203:0</v>
      </c>
    </row>
    <row r="355" spans="1:36" ht="18.75" customHeight="1" x14ac:dyDescent="0.2">
      <c r="A355" s="139"/>
      <c r="B355" s="123"/>
      <c r="C355" s="140"/>
      <c r="D355" s="141"/>
      <c r="E355" s="143"/>
      <c r="F355" s="141"/>
      <c r="G355" s="128"/>
      <c r="H355" s="739"/>
      <c r="I355" s="460" t="s">
        <v>383</v>
      </c>
      <c r="J355" s="381" t="s">
        <v>331</v>
      </c>
      <c r="K355" s="419"/>
      <c r="L355" s="382"/>
      <c r="M355" s="383" t="s">
        <v>383</v>
      </c>
      <c r="N355" s="381" t="s">
        <v>301</v>
      </c>
      <c r="O355" s="384"/>
      <c r="P355" s="384"/>
      <c r="Q355" s="511"/>
      <c r="R355" s="384"/>
      <c r="S355" s="384"/>
      <c r="T355" s="384"/>
      <c r="U355" s="384"/>
      <c r="V355" s="384"/>
      <c r="W355" s="384"/>
      <c r="X355" s="385"/>
      <c r="Y355" s="118" t="s">
        <v>383</v>
      </c>
      <c r="Z355" s="126" t="s">
        <v>255</v>
      </c>
      <c r="AA355" s="147"/>
      <c r="AB355" s="148"/>
      <c r="AC355" s="678"/>
      <c r="AD355" s="679"/>
      <c r="AE355" s="679"/>
      <c r="AF355" s="680"/>
      <c r="AG355" s="109" t="str">
        <f>"2B:sisetukbn_code:"&amp;IF(D365="■","2",0)</f>
        <v>2B:sisetukbn_code:0</v>
      </c>
      <c r="AH355" s="109"/>
      <c r="AI355" s="109"/>
      <c r="AJ355" s="109"/>
    </row>
    <row r="356" spans="1:36" ht="18.75" customHeight="1" x14ac:dyDescent="0.2">
      <c r="A356" s="139"/>
      <c r="B356" s="123"/>
      <c r="C356" s="140"/>
      <c r="D356" s="141"/>
      <c r="E356" s="143"/>
      <c r="F356" s="141"/>
      <c r="G356" s="128"/>
      <c r="H356" s="738" t="s">
        <v>93</v>
      </c>
      <c r="I356" s="374" t="s">
        <v>383</v>
      </c>
      <c r="J356" s="375" t="s">
        <v>250</v>
      </c>
      <c r="K356" s="375"/>
      <c r="L356" s="376"/>
      <c r="M356" s="377" t="s">
        <v>383</v>
      </c>
      <c r="N356" s="375" t="s">
        <v>289</v>
      </c>
      <c r="O356" s="375"/>
      <c r="P356" s="376"/>
      <c r="Q356" s="377" t="s">
        <v>383</v>
      </c>
      <c r="R356" s="378" t="s">
        <v>372</v>
      </c>
      <c r="S356" s="378"/>
      <c r="T356" s="378"/>
      <c r="U356" s="410"/>
      <c r="V356" s="376"/>
      <c r="W356" s="378"/>
      <c r="X356" s="411"/>
      <c r="Y356" s="154"/>
      <c r="Z356" s="147"/>
      <c r="AA356" s="147"/>
      <c r="AB356" s="148"/>
      <c r="AC356" s="678"/>
      <c r="AD356" s="679"/>
      <c r="AE356" s="679"/>
      <c r="AF356" s="680"/>
      <c r="AG356" s="109"/>
      <c r="AH356" s="109"/>
      <c r="AI356" s="109" t="str">
        <f>"2B:"&amp;IF(AND(I356="□",M356="□",Q356="□",I357="□",M357="□"),"ketu_doctor_code:0",IF(I356="■","ketu_doctor_code:1:field197:1:ketu_kangos_code:1:ketu_kshoku_code:1",IF(M356="■","ketu_doctor_code:2","ketu_doctor_code:1")
&amp;IF(Q356="■",":field197:2",":field197:1")
&amp;IF(I357="■",":ketu_kangos_code:2",":ketu_kangos_code:1")
&amp;IF(M357="■",":ketu_kshoku_code:2",":ketu_kshoku_code:1")))</f>
        <v>2B:ketu_doctor_code:0</v>
      </c>
      <c r="AJ356" s="109"/>
    </row>
    <row r="357" spans="1:36" ht="18.75" customHeight="1" x14ac:dyDescent="0.2">
      <c r="A357" s="139"/>
      <c r="B357" s="123"/>
      <c r="C357" s="140"/>
      <c r="D357" s="141"/>
      <c r="E357" s="143"/>
      <c r="F357" s="141"/>
      <c r="G357" s="128"/>
      <c r="H357" s="739"/>
      <c r="I357" s="460" t="s">
        <v>383</v>
      </c>
      <c r="J357" s="384" t="s">
        <v>373</v>
      </c>
      <c r="K357" s="384"/>
      <c r="L357" s="384"/>
      <c r="M357" s="383" t="s">
        <v>383</v>
      </c>
      <c r="N357" s="384" t="s">
        <v>374</v>
      </c>
      <c r="O357" s="382"/>
      <c r="P357" s="384"/>
      <c r="Q357" s="384"/>
      <c r="R357" s="382"/>
      <c r="S357" s="384"/>
      <c r="T357" s="384"/>
      <c r="U357" s="436"/>
      <c r="V357" s="382"/>
      <c r="W357" s="384"/>
      <c r="X357" s="437"/>
      <c r="Y357" s="154"/>
      <c r="Z357" s="147"/>
      <c r="AA357" s="147"/>
      <c r="AB357" s="148"/>
      <c r="AC357" s="678"/>
      <c r="AD357" s="679"/>
      <c r="AE357" s="679"/>
      <c r="AF357" s="680"/>
      <c r="AG357" s="109"/>
      <c r="AH357" s="109"/>
      <c r="AI357" s="109"/>
      <c r="AJ357" s="109"/>
    </row>
    <row r="358" spans="1:36" s="109" customFormat="1" ht="18.75" customHeight="1" x14ac:dyDescent="0.2">
      <c r="A358" s="139"/>
      <c r="B358" s="123"/>
      <c r="C358" s="248"/>
      <c r="D358" s="249"/>
      <c r="E358" s="128"/>
      <c r="F358" s="142"/>
      <c r="G358" s="143"/>
      <c r="H358" s="364" t="s">
        <v>107</v>
      </c>
      <c r="I358" s="349" t="s">
        <v>383</v>
      </c>
      <c r="J358" s="350" t="s">
        <v>395</v>
      </c>
      <c r="K358" s="351"/>
      <c r="L358" s="352"/>
      <c r="M358" s="353" t="s">
        <v>383</v>
      </c>
      <c r="N358" s="350" t="s">
        <v>396</v>
      </c>
      <c r="O358" s="351"/>
      <c r="P358" s="351"/>
      <c r="Q358" s="351"/>
      <c r="R358" s="351"/>
      <c r="S358" s="351"/>
      <c r="T358" s="351"/>
      <c r="U358" s="351"/>
      <c r="V358" s="351"/>
      <c r="W358" s="351"/>
      <c r="X358" s="365"/>
      <c r="Y358" s="154"/>
      <c r="Z358" s="147"/>
      <c r="AA358" s="147"/>
      <c r="AB358" s="148"/>
      <c r="AC358" s="678"/>
      <c r="AD358" s="679"/>
      <c r="AE358" s="679"/>
      <c r="AF358" s="680"/>
      <c r="AI358" s="109" t="str">
        <f>"2B:sintaikousoku_code:" &amp; IF(I358="■",1,IF(M358="■",2,0))</f>
        <v>2B:sintaikousoku_code:0</v>
      </c>
    </row>
    <row r="359" spans="1:36" ht="19.5" customHeight="1" x14ac:dyDescent="0.2">
      <c r="A359" s="139"/>
      <c r="B359" s="123"/>
      <c r="C359" s="140"/>
      <c r="D359" s="141"/>
      <c r="E359" s="128"/>
      <c r="F359" s="142"/>
      <c r="G359" s="143"/>
      <c r="H359" s="348" t="s">
        <v>430</v>
      </c>
      <c r="I359" s="374" t="s">
        <v>383</v>
      </c>
      <c r="J359" s="350" t="s">
        <v>395</v>
      </c>
      <c r="K359" s="351"/>
      <c r="L359" s="352"/>
      <c r="M359" s="353" t="s">
        <v>383</v>
      </c>
      <c r="N359" s="350" t="s">
        <v>431</v>
      </c>
      <c r="O359" s="350"/>
      <c r="P359" s="350"/>
      <c r="Q359" s="355"/>
      <c r="R359" s="355"/>
      <c r="S359" s="355"/>
      <c r="T359" s="355"/>
      <c r="U359" s="355"/>
      <c r="V359" s="355"/>
      <c r="W359" s="355"/>
      <c r="X359" s="356"/>
      <c r="Y359" s="147"/>
      <c r="Z359" s="147"/>
      <c r="AA359" s="147"/>
      <c r="AB359" s="148"/>
      <c r="AC359" s="678"/>
      <c r="AD359" s="679"/>
      <c r="AE359" s="679"/>
      <c r="AF359" s="680"/>
      <c r="AI359" s="109" t="str">
        <f>"2B:field223:" &amp; IF(I359="■",1,IF(M359="■",2,0))</f>
        <v>2B:field223:0</v>
      </c>
    </row>
    <row r="360" spans="1:36" ht="19.5" customHeight="1" x14ac:dyDescent="0.2">
      <c r="A360" s="139"/>
      <c r="B360" s="123"/>
      <c r="C360" s="140"/>
      <c r="D360" s="141"/>
      <c r="E360" s="128"/>
      <c r="F360" s="142"/>
      <c r="G360" s="143"/>
      <c r="H360" s="348" t="s">
        <v>448</v>
      </c>
      <c r="I360" s="374" t="s">
        <v>383</v>
      </c>
      <c r="J360" s="350" t="s">
        <v>395</v>
      </c>
      <c r="K360" s="351"/>
      <c r="L360" s="352"/>
      <c r="M360" s="353" t="s">
        <v>383</v>
      </c>
      <c r="N360" s="350" t="s">
        <v>431</v>
      </c>
      <c r="O360" s="350"/>
      <c r="P360" s="350"/>
      <c r="Q360" s="355"/>
      <c r="R360" s="355"/>
      <c r="S360" s="355"/>
      <c r="T360" s="355"/>
      <c r="U360" s="355"/>
      <c r="V360" s="355"/>
      <c r="W360" s="355"/>
      <c r="X360" s="356"/>
      <c r="Y360" s="147"/>
      <c r="Z360" s="147"/>
      <c r="AA360" s="147"/>
      <c r="AB360" s="148"/>
      <c r="AC360" s="678"/>
      <c r="AD360" s="679"/>
      <c r="AE360" s="679"/>
      <c r="AF360" s="680"/>
      <c r="AI360" s="109" t="str">
        <f>"2B:field232:" &amp; IF(I360="■",1,IF(M360="■",2,0))</f>
        <v>2B:field232:0</v>
      </c>
    </row>
    <row r="361" spans="1:36" ht="18.75" customHeight="1" x14ac:dyDescent="0.2">
      <c r="A361" s="139"/>
      <c r="B361" s="123"/>
      <c r="C361" s="140"/>
      <c r="D361" s="141"/>
      <c r="E361" s="143"/>
      <c r="F361" s="141"/>
      <c r="G361" s="128"/>
      <c r="H361" s="364" t="s">
        <v>164</v>
      </c>
      <c r="I361" s="374" t="s">
        <v>383</v>
      </c>
      <c r="J361" s="350" t="s">
        <v>300</v>
      </c>
      <c r="K361" s="351"/>
      <c r="L361" s="352"/>
      <c r="M361" s="353" t="s">
        <v>383</v>
      </c>
      <c r="N361" s="350" t="s">
        <v>332</v>
      </c>
      <c r="O361" s="355"/>
      <c r="P361" s="355"/>
      <c r="Q361" s="355"/>
      <c r="R361" s="355"/>
      <c r="S361" s="355"/>
      <c r="T361" s="355"/>
      <c r="U361" s="355"/>
      <c r="V361" s="355"/>
      <c r="W361" s="355"/>
      <c r="X361" s="356"/>
      <c r="Y361" s="154"/>
      <c r="Z361" s="147"/>
      <c r="AA361" s="147"/>
      <c r="AB361" s="148"/>
      <c r="AC361" s="678"/>
      <c r="AD361" s="679"/>
      <c r="AE361" s="679"/>
      <c r="AF361" s="680"/>
      <c r="AI361" s="109" t="str">
        <f>"2B:field190:" &amp; IF(I361="■",1,IF(M361="■",2,0))</f>
        <v>2B:field190:0</v>
      </c>
    </row>
    <row r="362" spans="1:36" ht="18.75" customHeight="1" x14ac:dyDescent="0.2">
      <c r="A362" s="139"/>
      <c r="B362" s="123"/>
      <c r="C362" s="140"/>
      <c r="D362" s="141"/>
      <c r="E362" s="143"/>
      <c r="F362" s="141"/>
      <c r="G362" s="128"/>
      <c r="H362" s="364" t="s">
        <v>165</v>
      </c>
      <c r="I362" s="374" t="s">
        <v>383</v>
      </c>
      <c r="J362" s="350" t="s">
        <v>300</v>
      </c>
      <c r="K362" s="351"/>
      <c r="L362" s="352"/>
      <c r="M362" s="353" t="s">
        <v>383</v>
      </c>
      <c r="N362" s="350" t="s">
        <v>332</v>
      </c>
      <c r="O362" s="355"/>
      <c r="P362" s="355"/>
      <c r="Q362" s="355"/>
      <c r="R362" s="355"/>
      <c r="S362" s="355"/>
      <c r="T362" s="355"/>
      <c r="U362" s="355"/>
      <c r="V362" s="355"/>
      <c r="W362" s="355"/>
      <c r="X362" s="356"/>
      <c r="Y362" s="154"/>
      <c r="Z362" s="147"/>
      <c r="AA362" s="147"/>
      <c r="AB362" s="148"/>
      <c r="AC362" s="678"/>
      <c r="AD362" s="679"/>
      <c r="AE362" s="679"/>
      <c r="AF362" s="680"/>
      <c r="AI362" s="109" t="str">
        <f>"2B:field191:" &amp; IF(I362="■",1,IF(M362="■",2,0))</f>
        <v>2B:field191:0</v>
      </c>
    </row>
    <row r="363" spans="1:36" s="1" customFormat="1" ht="19.5" customHeight="1" x14ac:dyDescent="0.2">
      <c r="A363" s="88"/>
      <c r="B363" s="91"/>
      <c r="C363" s="87"/>
      <c r="D363" s="89"/>
      <c r="E363" s="90"/>
      <c r="F363" s="101"/>
      <c r="G363" s="100"/>
      <c r="H363" s="348" t="s">
        <v>638</v>
      </c>
      <c r="I363" s="349" t="s">
        <v>383</v>
      </c>
      <c r="J363" s="381" t="s">
        <v>624</v>
      </c>
      <c r="K363" s="419"/>
      <c r="L363" s="382"/>
      <c r="M363" s="353" t="s">
        <v>383</v>
      </c>
      <c r="N363" s="381" t="s">
        <v>625</v>
      </c>
      <c r="O363" s="466"/>
      <c r="P363" s="381"/>
      <c r="Q363" s="436"/>
      <c r="R363" s="436"/>
      <c r="S363" s="436"/>
      <c r="T363" s="436"/>
      <c r="U363" s="436"/>
      <c r="V363" s="436"/>
      <c r="W363" s="436"/>
      <c r="X363" s="437"/>
      <c r="Y363" s="85"/>
      <c r="Z363" s="2"/>
      <c r="AA363" s="92"/>
      <c r="AB363" s="102"/>
      <c r="AC363" s="678"/>
      <c r="AD363" s="679"/>
      <c r="AE363" s="679"/>
      <c r="AF363" s="680"/>
      <c r="AI363" s="109" t="str">
        <f>"2B:field242:" &amp; IF(I363="■",1,IF(M363="■",2,0))</f>
        <v>2B:field242:0</v>
      </c>
    </row>
    <row r="364" spans="1:36" ht="18.75" customHeight="1" x14ac:dyDescent="0.2">
      <c r="A364" s="139"/>
      <c r="B364" s="123"/>
      <c r="C364" s="140"/>
      <c r="D364" s="141"/>
      <c r="E364" s="143"/>
      <c r="F364" s="125" t="s">
        <v>383</v>
      </c>
      <c r="G364" s="128" t="s">
        <v>500</v>
      </c>
      <c r="H364" s="364" t="s">
        <v>486</v>
      </c>
      <c r="I364" s="374" t="s">
        <v>383</v>
      </c>
      <c r="J364" s="350" t="s">
        <v>250</v>
      </c>
      <c r="K364" s="351"/>
      <c r="L364" s="353" t="s">
        <v>383</v>
      </c>
      <c r="M364" s="350" t="s">
        <v>267</v>
      </c>
      <c r="N364" s="355"/>
      <c r="O364" s="355"/>
      <c r="P364" s="355"/>
      <c r="Q364" s="355"/>
      <c r="R364" s="355"/>
      <c r="S364" s="355"/>
      <c r="T364" s="355"/>
      <c r="U364" s="355"/>
      <c r="V364" s="355"/>
      <c r="W364" s="355"/>
      <c r="X364" s="356"/>
      <c r="Y364" s="154"/>
      <c r="Z364" s="147"/>
      <c r="AA364" s="147"/>
      <c r="AB364" s="148"/>
      <c r="AC364" s="678"/>
      <c r="AD364" s="679"/>
      <c r="AE364" s="679"/>
      <c r="AF364" s="680"/>
      <c r="AI364" s="109" t="str">
        <f>"2B:jyakuninti_uke_code:" &amp; IF(I364="■",1,IF(L364="■",2,0))</f>
        <v>2B:jyakuninti_uke_code:0</v>
      </c>
    </row>
    <row r="365" spans="1:36" ht="18.75" customHeight="1" x14ac:dyDescent="0.2">
      <c r="A365" s="125" t="s">
        <v>383</v>
      </c>
      <c r="B365" s="123" t="s">
        <v>498</v>
      </c>
      <c r="C365" s="140" t="s">
        <v>489</v>
      </c>
      <c r="D365" s="125" t="s">
        <v>383</v>
      </c>
      <c r="E365" s="143" t="s">
        <v>501</v>
      </c>
      <c r="F365" s="125" t="s">
        <v>383</v>
      </c>
      <c r="G365" s="128" t="s">
        <v>376</v>
      </c>
      <c r="H365" s="364" t="s">
        <v>95</v>
      </c>
      <c r="I365" s="374" t="s">
        <v>383</v>
      </c>
      <c r="J365" s="350" t="s">
        <v>265</v>
      </c>
      <c r="K365" s="351"/>
      <c r="L365" s="352"/>
      <c r="M365" s="353" t="s">
        <v>383</v>
      </c>
      <c r="N365" s="350" t="s">
        <v>266</v>
      </c>
      <c r="O365" s="355"/>
      <c r="P365" s="355"/>
      <c r="Q365" s="355"/>
      <c r="R365" s="355"/>
      <c r="S365" s="355"/>
      <c r="T365" s="355"/>
      <c r="U365" s="355"/>
      <c r="V365" s="355"/>
      <c r="W365" s="355"/>
      <c r="X365" s="356"/>
      <c r="Y365" s="154"/>
      <c r="Z365" s="147"/>
      <c r="AA365" s="147"/>
      <c r="AB365" s="148"/>
      <c r="AC365" s="678"/>
      <c r="AD365" s="679"/>
      <c r="AE365" s="679"/>
      <c r="AF365" s="680"/>
      <c r="AI365" s="109" t="str">
        <f>"2B:sougei_code:" &amp; IF(I365="■",1,IF(M365="■",2,0))</f>
        <v>2B:sougei_code:0</v>
      </c>
    </row>
    <row r="366" spans="1:36" ht="19.5" customHeight="1" x14ac:dyDescent="0.2">
      <c r="A366" s="139"/>
      <c r="B366" s="123"/>
      <c r="C366" s="140"/>
      <c r="D366" s="141"/>
      <c r="E366" s="143"/>
      <c r="F366" s="125" t="s">
        <v>383</v>
      </c>
      <c r="G366" s="128" t="s">
        <v>377</v>
      </c>
      <c r="H366" s="348" t="s">
        <v>433</v>
      </c>
      <c r="I366" s="374" t="s">
        <v>383</v>
      </c>
      <c r="J366" s="350" t="s">
        <v>250</v>
      </c>
      <c r="K366" s="350"/>
      <c r="L366" s="353" t="s">
        <v>383</v>
      </c>
      <c r="M366" s="350" t="s">
        <v>267</v>
      </c>
      <c r="N366" s="350"/>
      <c r="O366" s="355"/>
      <c r="P366" s="350"/>
      <c r="Q366" s="355"/>
      <c r="R366" s="355"/>
      <c r="S366" s="355"/>
      <c r="T366" s="355"/>
      <c r="U366" s="355"/>
      <c r="V366" s="355"/>
      <c r="W366" s="355"/>
      <c r="X366" s="356"/>
      <c r="Y366" s="147"/>
      <c r="Z366" s="147"/>
      <c r="AA366" s="147"/>
      <c r="AB366" s="148"/>
      <c r="AC366" s="678"/>
      <c r="AD366" s="679"/>
      <c r="AE366" s="679"/>
      <c r="AF366" s="680"/>
      <c r="AI366" s="109" t="str">
        <f>"2B:field224:" &amp; IF(I366="■",1,IF(L366="■",2,0))</f>
        <v>2B:field224:0</v>
      </c>
    </row>
    <row r="367" spans="1:36" ht="18.75" customHeight="1" x14ac:dyDescent="0.2">
      <c r="A367" s="139"/>
      <c r="B367" s="123"/>
      <c r="C367" s="140"/>
      <c r="D367" s="141"/>
      <c r="E367" s="143"/>
      <c r="F367" s="141"/>
      <c r="G367" s="128"/>
      <c r="H367" s="364" t="s">
        <v>112</v>
      </c>
      <c r="I367" s="374" t="s">
        <v>383</v>
      </c>
      <c r="J367" s="350" t="s">
        <v>250</v>
      </c>
      <c r="K367" s="351"/>
      <c r="L367" s="353" t="s">
        <v>383</v>
      </c>
      <c r="M367" s="350" t="s">
        <v>267</v>
      </c>
      <c r="N367" s="355"/>
      <c r="O367" s="355"/>
      <c r="P367" s="355"/>
      <c r="Q367" s="355"/>
      <c r="R367" s="355"/>
      <c r="S367" s="355"/>
      <c r="T367" s="355"/>
      <c r="U367" s="355"/>
      <c r="V367" s="355"/>
      <c r="W367" s="355"/>
      <c r="X367" s="356"/>
      <c r="Y367" s="154"/>
      <c r="Z367" s="147"/>
      <c r="AA367" s="147"/>
      <c r="AB367" s="148"/>
      <c r="AC367" s="678"/>
      <c r="AD367" s="679"/>
      <c r="AE367" s="679"/>
      <c r="AF367" s="680"/>
      <c r="AI367" s="109" t="str">
        <f>"2B:ryouyoushoku_code:" &amp; IF(I367="■",1,IF(L367="■",2,0))</f>
        <v>2B:ryouyoushoku_code:0</v>
      </c>
    </row>
    <row r="368" spans="1:36" ht="18.75" customHeight="1" x14ac:dyDescent="0.2">
      <c r="A368" s="139"/>
      <c r="B368" s="123"/>
      <c r="C368" s="140"/>
      <c r="D368" s="141"/>
      <c r="E368" s="143"/>
      <c r="F368" s="141"/>
      <c r="G368" s="128"/>
      <c r="H368" s="364" t="s">
        <v>116</v>
      </c>
      <c r="I368" s="374" t="s">
        <v>383</v>
      </c>
      <c r="J368" s="350" t="s">
        <v>250</v>
      </c>
      <c r="K368" s="350"/>
      <c r="L368" s="353" t="s">
        <v>383</v>
      </c>
      <c r="M368" s="350" t="s">
        <v>251</v>
      </c>
      <c r="N368" s="350"/>
      <c r="O368" s="353" t="s">
        <v>383</v>
      </c>
      <c r="P368" s="350" t="s">
        <v>252</v>
      </c>
      <c r="Q368" s="355"/>
      <c r="R368" s="355"/>
      <c r="S368" s="355"/>
      <c r="T368" s="355"/>
      <c r="U368" s="355"/>
      <c r="V368" s="355"/>
      <c r="W368" s="355"/>
      <c r="X368" s="356"/>
      <c r="Y368" s="154"/>
      <c r="Z368" s="147"/>
      <c r="AA368" s="147"/>
      <c r="AB368" s="148"/>
      <c r="AC368" s="678"/>
      <c r="AD368" s="679"/>
      <c r="AE368" s="679"/>
      <c r="AF368" s="680"/>
      <c r="AI368" s="109" t="str">
        <f>"2B:ninti_senmoncare_code:" &amp; IF(I368="■",1,IF(O368="■",3,IF(L368="■",2,0)))</f>
        <v>2B:ninti_senmoncare_code:0</v>
      </c>
    </row>
    <row r="369" spans="1:36" ht="18.75" customHeight="1" x14ac:dyDescent="0.2">
      <c r="A369" s="139"/>
      <c r="B369" s="123"/>
      <c r="C369" s="140"/>
      <c r="D369" s="141"/>
      <c r="E369" s="143"/>
      <c r="F369" s="141"/>
      <c r="G369" s="128"/>
      <c r="H369" s="738" t="s">
        <v>149</v>
      </c>
      <c r="I369" s="374" t="s">
        <v>383</v>
      </c>
      <c r="J369" s="375" t="s">
        <v>320</v>
      </c>
      <c r="K369" s="375"/>
      <c r="L369" s="410"/>
      <c r="M369" s="410"/>
      <c r="N369" s="410"/>
      <c r="O369" s="410"/>
      <c r="P369" s="377" t="s">
        <v>383</v>
      </c>
      <c r="Q369" s="375" t="s">
        <v>321</v>
      </c>
      <c r="R369" s="410"/>
      <c r="S369" s="410"/>
      <c r="T369" s="410"/>
      <c r="U369" s="410"/>
      <c r="V369" s="410"/>
      <c r="W369" s="410"/>
      <c r="X369" s="411"/>
      <c r="Y369" s="154"/>
      <c r="Z369" s="147"/>
      <c r="AA369" s="147"/>
      <c r="AB369" s="148"/>
      <c r="AC369" s="678"/>
      <c r="AD369" s="679"/>
      <c r="AE369" s="679"/>
      <c r="AF369" s="680"/>
      <c r="AI369" s="109" t="str">
        <f>"2B:" &amp; IF(AND(I369="□",P369="□",I370="□"),"tokusin_jyusho_code:0:tokusin_yakuzai_code:0:shuudan_comu_code:0",IF(I369="■","tokusin_jyusho_code:2","tokusin_jyusho_code:1")
&amp;IF(P369="■",":tokusin_yakuzai_code:2",":tokusin_yakuzai_code:1")
&amp;IF(I370="■",":shuudan_comu_code:2",":shuudan_comu_code:1"))</f>
        <v>2B:tokusin_jyusho_code:0:tokusin_yakuzai_code:0:shuudan_comu_code:0</v>
      </c>
    </row>
    <row r="370" spans="1:36" ht="18.75" customHeight="1" x14ac:dyDescent="0.2">
      <c r="A370" s="139"/>
      <c r="B370" s="123"/>
      <c r="C370" s="140"/>
      <c r="D370" s="141"/>
      <c r="E370" s="143"/>
      <c r="F370" s="141"/>
      <c r="G370" s="128"/>
      <c r="H370" s="739"/>
      <c r="I370" s="460" t="s">
        <v>383</v>
      </c>
      <c r="J370" s="381" t="s">
        <v>334</v>
      </c>
      <c r="K370" s="436"/>
      <c r="L370" s="436"/>
      <c r="M370" s="436"/>
      <c r="N370" s="436"/>
      <c r="O370" s="436"/>
      <c r="P370" s="436"/>
      <c r="Q370" s="384"/>
      <c r="R370" s="436"/>
      <c r="S370" s="436"/>
      <c r="T370" s="436"/>
      <c r="U370" s="436"/>
      <c r="V370" s="436"/>
      <c r="W370" s="436"/>
      <c r="X370" s="437"/>
      <c r="Y370" s="154"/>
      <c r="Z370" s="147"/>
      <c r="AA370" s="147"/>
      <c r="AB370" s="148"/>
      <c r="AC370" s="678"/>
      <c r="AD370" s="679"/>
      <c r="AE370" s="679"/>
      <c r="AF370" s="680"/>
      <c r="AI370" s="109"/>
    </row>
    <row r="371" spans="1:36" ht="18.75" customHeight="1" x14ac:dyDescent="0.2">
      <c r="A371" s="139"/>
      <c r="B371" s="123"/>
      <c r="C371" s="140"/>
      <c r="D371" s="141"/>
      <c r="E371" s="143"/>
      <c r="F371" s="141"/>
      <c r="G371" s="128"/>
      <c r="H371" s="738" t="s">
        <v>103</v>
      </c>
      <c r="I371" s="374" t="s">
        <v>383</v>
      </c>
      <c r="J371" s="375" t="s">
        <v>335</v>
      </c>
      <c r="K371" s="438"/>
      <c r="L371" s="376"/>
      <c r="M371" s="377" t="s">
        <v>383</v>
      </c>
      <c r="N371" s="375" t="s">
        <v>336</v>
      </c>
      <c r="O371" s="410"/>
      <c r="P371" s="410"/>
      <c r="Q371" s="377" t="s">
        <v>383</v>
      </c>
      <c r="R371" s="375" t="s">
        <v>337</v>
      </c>
      <c r="S371" s="410"/>
      <c r="T371" s="410"/>
      <c r="U371" s="410"/>
      <c r="V371" s="410"/>
      <c r="W371" s="410"/>
      <c r="X371" s="411"/>
      <c r="Y371" s="154"/>
      <c r="Z371" s="147"/>
      <c r="AA371" s="147"/>
      <c r="AB371" s="148"/>
      <c r="AC371" s="678"/>
      <c r="AD371" s="679"/>
      <c r="AE371" s="679"/>
      <c r="AF371" s="680"/>
      <c r="AI371" s="109" t="str">
        <f>"2B:"&amp;IF(AND(I371="□",M371="□",Q371="□",I372="□",Q372="□"),"koriha_rryoho1_code:0:koriha_sryoho_code:0:koriha_gengo_code:0:riha_seisin_code:0:koriha_other_code:0",IF(I371="■","koriha_rryoho1_code:2","koriha_rryoho1_code:1")
&amp;IF(M371="■",":koriha_sryoho_code:2",":koriha_sryoho_code:1")
&amp;IF(Q371="■",":koriha_gengo_code:2",":koriha_gengo_code:1")
&amp;IF(I372="■",":riha_seisin_code:2",":riha_seisin_code:1")
&amp;IF(Q372="■",":koriha_other_code:2",":koriha_other_code:1"))</f>
        <v>2B:koriha_rryoho1_code:0:koriha_sryoho_code:0:koriha_gengo_code:0:riha_seisin_code:0:koriha_other_code:0</v>
      </c>
    </row>
    <row r="372" spans="1:36" ht="18.75" customHeight="1" x14ac:dyDescent="0.2">
      <c r="A372" s="139"/>
      <c r="B372" s="123"/>
      <c r="C372" s="140"/>
      <c r="D372" s="141"/>
      <c r="E372" s="143"/>
      <c r="F372" s="141"/>
      <c r="G372" s="128"/>
      <c r="H372" s="739"/>
      <c r="I372" s="460" t="s">
        <v>383</v>
      </c>
      <c r="J372" s="381" t="s">
        <v>338</v>
      </c>
      <c r="K372" s="436"/>
      <c r="L372" s="436"/>
      <c r="M372" s="436"/>
      <c r="N372" s="436"/>
      <c r="O372" s="436"/>
      <c r="P372" s="436"/>
      <c r="Q372" s="383" t="s">
        <v>383</v>
      </c>
      <c r="R372" s="381" t="s">
        <v>339</v>
      </c>
      <c r="S372" s="384"/>
      <c r="T372" s="436"/>
      <c r="U372" s="436"/>
      <c r="V372" s="436"/>
      <c r="W372" s="436"/>
      <c r="X372" s="437"/>
      <c r="Y372" s="154"/>
      <c r="Z372" s="147"/>
      <c r="AA372" s="147"/>
      <c r="AB372" s="148"/>
      <c r="AC372" s="678"/>
      <c r="AD372" s="679"/>
      <c r="AE372" s="679"/>
      <c r="AF372" s="680"/>
      <c r="AI372" s="109"/>
    </row>
    <row r="373" spans="1:36" ht="18.75" customHeight="1" x14ac:dyDescent="0.2">
      <c r="A373" s="139"/>
      <c r="B373" s="123"/>
      <c r="C373" s="140"/>
      <c r="D373" s="141"/>
      <c r="E373" s="143"/>
      <c r="F373" s="141"/>
      <c r="G373" s="128"/>
      <c r="H373" s="435" t="s">
        <v>442</v>
      </c>
      <c r="I373" s="374" t="s">
        <v>383</v>
      </c>
      <c r="J373" s="350" t="s">
        <v>250</v>
      </c>
      <c r="K373" s="350"/>
      <c r="L373" s="353" t="s">
        <v>383</v>
      </c>
      <c r="M373" s="350" t="s">
        <v>251</v>
      </c>
      <c r="N373" s="350"/>
      <c r="O373" s="353" t="s">
        <v>383</v>
      </c>
      <c r="P373" s="350" t="s">
        <v>252</v>
      </c>
      <c r="Q373" s="355"/>
      <c r="R373" s="355"/>
      <c r="S373" s="355"/>
      <c r="T373" s="355"/>
      <c r="U373" s="410"/>
      <c r="V373" s="410"/>
      <c r="W373" s="410"/>
      <c r="X373" s="411"/>
      <c r="Y373" s="154"/>
      <c r="Z373" s="147"/>
      <c r="AA373" s="147"/>
      <c r="AB373" s="148"/>
      <c r="AC373" s="678"/>
      <c r="AD373" s="679"/>
      <c r="AE373" s="679"/>
      <c r="AF373" s="680"/>
      <c r="AI373" s="109" t="str">
        <f>"2B:field225:" &amp; IF(I373="■",1,IF(L373="■",2,IF(O373="■",3,0)))</f>
        <v>2B:field225:0</v>
      </c>
    </row>
    <row r="374" spans="1:36" ht="18.75" customHeight="1" x14ac:dyDescent="0.2">
      <c r="A374" s="139"/>
      <c r="B374" s="123"/>
      <c r="C374" s="140"/>
      <c r="D374" s="141"/>
      <c r="E374" s="143"/>
      <c r="F374" s="141"/>
      <c r="G374" s="128"/>
      <c r="H374" s="364" t="s">
        <v>118</v>
      </c>
      <c r="I374" s="374" t="s">
        <v>383</v>
      </c>
      <c r="J374" s="350" t="s">
        <v>250</v>
      </c>
      <c r="K374" s="350"/>
      <c r="L374" s="353" t="s">
        <v>383</v>
      </c>
      <c r="M374" s="350" t="s">
        <v>258</v>
      </c>
      <c r="N374" s="350"/>
      <c r="O374" s="353" t="s">
        <v>383</v>
      </c>
      <c r="P374" s="350" t="s">
        <v>259</v>
      </c>
      <c r="Q374" s="420"/>
      <c r="R374" s="353" t="s">
        <v>383</v>
      </c>
      <c r="S374" s="350" t="s">
        <v>283</v>
      </c>
      <c r="T374" s="420"/>
      <c r="U374" s="420"/>
      <c r="V374" s="420"/>
      <c r="W374" s="420"/>
      <c r="X374" s="440"/>
      <c r="Y374" s="154"/>
      <c r="Z374" s="147"/>
      <c r="AA374" s="147"/>
      <c r="AB374" s="148"/>
      <c r="AC374" s="678"/>
      <c r="AD374" s="679"/>
      <c r="AE374" s="679"/>
      <c r="AF374" s="680"/>
      <c r="AI374" s="109" t="str">
        <f>"2B:serteikyo_kyoka_code:" &amp; IF(I374="■",1,IF(L374="■",6,IF(O374="■",5,IF(R374="■",7,0))))</f>
        <v>2B:serteikyo_kyoka_code:0</v>
      </c>
    </row>
    <row r="375" spans="1:36" ht="18.75" customHeight="1" x14ac:dyDescent="0.2">
      <c r="A375" s="139"/>
      <c r="B375" s="123"/>
      <c r="C375" s="140"/>
      <c r="D375" s="141"/>
      <c r="E375" s="143"/>
      <c r="F375" s="141"/>
      <c r="G375" s="128"/>
      <c r="H375" s="713" t="s">
        <v>805</v>
      </c>
      <c r="I375" s="747" t="s">
        <v>383</v>
      </c>
      <c r="J375" s="746" t="s">
        <v>250</v>
      </c>
      <c r="K375" s="746"/>
      <c r="L375" s="747" t="s">
        <v>383</v>
      </c>
      <c r="M375" s="746" t="s">
        <v>267</v>
      </c>
      <c r="N375" s="746"/>
      <c r="O375" s="378"/>
      <c r="P375" s="378"/>
      <c r="Q375" s="378"/>
      <c r="R375" s="378"/>
      <c r="S375" s="378"/>
      <c r="T375" s="378"/>
      <c r="U375" s="378"/>
      <c r="V375" s="378"/>
      <c r="W375" s="378"/>
      <c r="X375" s="379"/>
      <c r="Y375" s="154"/>
      <c r="Z375" s="147"/>
      <c r="AA375" s="147"/>
      <c r="AB375" s="148"/>
      <c r="AC375" s="678"/>
      <c r="AD375" s="679"/>
      <c r="AE375" s="679"/>
      <c r="AF375" s="680"/>
      <c r="AI375" s="109" t="str">
        <f>"2B:field221:" &amp; IF(I375="■",1,IF(L375="■",2,0))</f>
        <v>2B:field221:0</v>
      </c>
    </row>
    <row r="376" spans="1:36" ht="18.75" customHeight="1" x14ac:dyDescent="0.2">
      <c r="A376" s="139"/>
      <c r="B376" s="123"/>
      <c r="C376" s="140"/>
      <c r="D376" s="141"/>
      <c r="E376" s="143"/>
      <c r="F376" s="141"/>
      <c r="G376" s="128"/>
      <c r="H376" s="737"/>
      <c r="I376" s="747"/>
      <c r="J376" s="746"/>
      <c r="K376" s="746"/>
      <c r="L376" s="747"/>
      <c r="M376" s="746"/>
      <c r="N376" s="746"/>
      <c r="O376" s="384"/>
      <c r="P376" s="384"/>
      <c r="Q376" s="384"/>
      <c r="R376" s="384"/>
      <c r="S376" s="384"/>
      <c r="T376" s="384"/>
      <c r="U376" s="384"/>
      <c r="V376" s="384"/>
      <c r="W376" s="384"/>
      <c r="X376" s="385"/>
      <c r="Y376" s="154"/>
      <c r="Z376" s="147"/>
      <c r="AA376" s="147"/>
      <c r="AB376" s="148"/>
      <c r="AC376" s="678"/>
      <c r="AD376" s="679"/>
      <c r="AE376" s="679"/>
      <c r="AF376" s="680"/>
    </row>
    <row r="377" spans="1:36" s="621" customFormat="1" ht="19.8" customHeight="1" x14ac:dyDescent="0.2">
      <c r="A377" s="139"/>
      <c r="B377" s="670"/>
      <c r="C377" s="140"/>
      <c r="D377" s="141"/>
      <c r="E377" s="128"/>
      <c r="F377" s="142"/>
      <c r="G377" s="143"/>
      <c r="H377" s="713" t="s">
        <v>790</v>
      </c>
      <c r="I377" s="642" t="s">
        <v>383</v>
      </c>
      <c r="J377" s="616" t="s">
        <v>627</v>
      </c>
      <c r="K377" s="616"/>
      <c r="L377" s="615"/>
      <c r="M377" s="644" t="s">
        <v>383</v>
      </c>
      <c r="N377" s="616" t="s">
        <v>791</v>
      </c>
      <c r="O377" s="617"/>
      <c r="P377" s="615"/>
      <c r="Q377" s="644" t="s">
        <v>383</v>
      </c>
      <c r="R377" s="618" t="s">
        <v>792</v>
      </c>
      <c r="S377" s="615"/>
      <c r="T377" s="615"/>
      <c r="U377" s="615"/>
      <c r="V377" s="618"/>
      <c r="W377" s="619"/>
      <c r="X377" s="620"/>
      <c r="Y377" s="154"/>
      <c r="Z377" s="147"/>
      <c r="AA377" s="147"/>
      <c r="AB377" s="148"/>
      <c r="AC377" s="678"/>
      <c r="AD377" s="679"/>
      <c r="AE377" s="679"/>
      <c r="AF377" s="680"/>
    </row>
    <row r="378" spans="1:36" s="621" customFormat="1" ht="21" customHeight="1" x14ac:dyDescent="0.2">
      <c r="A378" s="139"/>
      <c r="B378" s="670"/>
      <c r="C378" s="140"/>
      <c r="D378" s="141"/>
      <c r="E378" s="128"/>
      <c r="F378" s="142"/>
      <c r="G378" s="143"/>
      <c r="H378" s="714"/>
      <c r="I378" s="645" t="s">
        <v>383</v>
      </c>
      <c r="J378" s="623" t="s">
        <v>793</v>
      </c>
      <c r="K378" s="623"/>
      <c r="L378" s="622"/>
      <c r="M378" s="645" t="s">
        <v>383</v>
      </c>
      <c r="N378" s="623" t="s">
        <v>794</v>
      </c>
      <c r="O378" s="624"/>
      <c r="P378" s="622"/>
      <c r="Q378" s="645" t="s">
        <v>383</v>
      </c>
      <c r="R378" s="623" t="s">
        <v>795</v>
      </c>
      <c r="S378" s="622"/>
      <c r="T378" s="623"/>
      <c r="U378" s="645" t="s">
        <v>383</v>
      </c>
      <c r="V378" s="623" t="s">
        <v>796</v>
      </c>
      <c r="W378" s="625"/>
      <c r="X378" s="626"/>
      <c r="Y378" s="154"/>
      <c r="Z378" s="147"/>
      <c r="AA378" s="147"/>
      <c r="AB378" s="148"/>
      <c r="AC378" s="678"/>
      <c r="AD378" s="679"/>
      <c r="AE378" s="679"/>
      <c r="AF378" s="680"/>
    </row>
    <row r="379" spans="1:36" ht="18.75" customHeight="1" x14ac:dyDescent="0.2">
      <c r="A379" s="129"/>
      <c r="B379" s="116"/>
      <c r="C379" s="130"/>
      <c r="D379" s="131"/>
      <c r="E379" s="133"/>
      <c r="F379" s="131"/>
      <c r="G379" s="121"/>
      <c r="H379" s="740" t="s">
        <v>97</v>
      </c>
      <c r="I379" s="412" t="s">
        <v>383</v>
      </c>
      <c r="J379" s="413" t="s">
        <v>300</v>
      </c>
      <c r="K379" s="414"/>
      <c r="L379" s="415"/>
      <c r="M379" s="416" t="s">
        <v>383</v>
      </c>
      <c r="N379" s="413" t="s">
        <v>328</v>
      </c>
      <c r="O379" s="417"/>
      <c r="P379" s="417"/>
      <c r="Q379" s="416" t="s">
        <v>383</v>
      </c>
      <c r="R379" s="413" t="s">
        <v>329</v>
      </c>
      <c r="S379" s="417"/>
      <c r="T379" s="417"/>
      <c r="U379" s="416" t="s">
        <v>383</v>
      </c>
      <c r="V379" s="413" t="s">
        <v>330</v>
      </c>
      <c r="W379" s="417"/>
      <c r="X379" s="418"/>
      <c r="Y379" s="138" t="s">
        <v>383</v>
      </c>
      <c r="Z379" s="119" t="s">
        <v>249</v>
      </c>
      <c r="AA379" s="119"/>
      <c r="AB379" s="137"/>
      <c r="AC379" s="675"/>
      <c r="AD379" s="676"/>
      <c r="AE379" s="676"/>
      <c r="AF379" s="677"/>
      <c r="AG379" s="109" t="str">
        <f>"ser_code = '" &amp; IF(A388="■","2B","") &amp; "'"</f>
        <v>ser_code = ''</v>
      </c>
      <c r="AH379" s="109" t="str">
        <f>"2B:jininkbn_code:"&amp;IF(F388="■",1,0)</f>
        <v>2B:jininkbn_code:0</v>
      </c>
      <c r="AI379" s="109" t="str">
        <f>"2B:yakan_kinmu_code:" &amp; IF(I379="■",1,IF(M379="■",2,IF(Q379="■",3,IF(U379="■",7,IF(I380="■",5,IF(M380="■",6,0))))))</f>
        <v>2B:yakan_kinmu_code:0</v>
      </c>
      <c r="AJ379" s="109" t="str">
        <f>"2B:field203:" &amp; IF(Y379="■",1,IF(Y380="■",2,0))</f>
        <v>2B:field203:0</v>
      </c>
    </row>
    <row r="380" spans="1:36" ht="18.75" customHeight="1" x14ac:dyDescent="0.2">
      <c r="A380" s="139"/>
      <c r="B380" s="123"/>
      <c r="C380" s="140"/>
      <c r="D380" s="141"/>
      <c r="E380" s="143"/>
      <c r="F380" s="141"/>
      <c r="G380" s="128"/>
      <c r="H380" s="739"/>
      <c r="I380" s="460" t="s">
        <v>383</v>
      </c>
      <c r="J380" s="381" t="s">
        <v>331</v>
      </c>
      <c r="K380" s="419"/>
      <c r="L380" s="382"/>
      <c r="M380" s="383" t="s">
        <v>383</v>
      </c>
      <c r="N380" s="381" t="s">
        <v>301</v>
      </c>
      <c r="O380" s="384"/>
      <c r="P380" s="384"/>
      <c r="Q380" s="384"/>
      <c r="R380" s="384"/>
      <c r="S380" s="384"/>
      <c r="T380" s="384"/>
      <c r="U380" s="384"/>
      <c r="V380" s="384"/>
      <c r="W380" s="384"/>
      <c r="X380" s="385"/>
      <c r="Y380" s="118" t="s">
        <v>383</v>
      </c>
      <c r="Z380" s="126" t="s">
        <v>255</v>
      </c>
      <c r="AA380" s="147"/>
      <c r="AB380" s="148"/>
      <c r="AC380" s="678"/>
      <c r="AD380" s="679"/>
      <c r="AE380" s="679"/>
      <c r="AF380" s="680"/>
      <c r="AG380" s="109" t="str">
        <f>"2B:sisetukbn_code:"&amp;IF(D388="■","3",0)</f>
        <v>2B:sisetukbn_code:0</v>
      </c>
      <c r="AH380" s="109"/>
      <c r="AI380" s="109"/>
      <c r="AJ380" s="109"/>
    </row>
    <row r="381" spans="1:36" ht="18.75" customHeight="1" x14ac:dyDescent="0.2">
      <c r="A381" s="139"/>
      <c r="B381" s="123"/>
      <c r="C381" s="140"/>
      <c r="D381" s="141"/>
      <c r="E381" s="143"/>
      <c r="F381" s="141"/>
      <c r="G381" s="128"/>
      <c r="H381" s="738" t="s">
        <v>93</v>
      </c>
      <c r="I381" s="374" t="s">
        <v>383</v>
      </c>
      <c r="J381" s="375" t="s">
        <v>250</v>
      </c>
      <c r="K381" s="375"/>
      <c r="L381" s="376"/>
      <c r="M381" s="377" t="s">
        <v>383</v>
      </c>
      <c r="N381" s="375" t="s">
        <v>289</v>
      </c>
      <c r="O381" s="375"/>
      <c r="P381" s="376"/>
      <c r="Q381" s="377" t="s">
        <v>383</v>
      </c>
      <c r="R381" s="378" t="s">
        <v>372</v>
      </c>
      <c r="S381" s="378"/>
      <c r="T381" s="378"/>
      <c r="U381" s="410"/>
      <c r="V381" s="376"/>
      <c r="W381" s="378"/>
      <c r="X381" s="411"/>
      <c r="Y381" s="154"/>
      <c r="Z381" s="147"/>
      <c r="AA381" s="147"/>
      <c r="AB381" s="148"/>
      <c r="AC381" s="678"/>
      <c r="AD381" s="679"/>
      <c r="AE381" s="679"/>
      <c r="AF381" s="680"/>
      <c r="AG381" s="109"/>
      <c r="AH381" s="109"/>
      <c r="AI381" s="109" t="str">
        <f>"2B:"&amp;IF(AND(I381="□",M381="□",Q381="□",I382="□",M382="□"),"ketu_doctor_code:0",IF(I381="■","ketu_doctor_code:1:field197:1:ketu_kangos_code:1:ketu_kshoku_code:1",IF(M381="■","ketu_doctor_code:2","ketu_doctor_code:1")
&amp;IF(Q381="■",":field197:2",":field197:1")
&amp;IF(I382="■",":ketu_kangos_code:2",":ketu_kangos_code:1")
&amp;IF(M382="■",":ketu_kshoku_code:2",":ketu_kshoku_code:1")))</f>
        <v>2B:ketu_doctor_code:0</v>
      </c>
      <c r="AJ381" s="109"/>
    </row>
    <row r="382" spans="1:36" ht="18.75" customHeight="1" x14ac:dyDescent="0.2">
      <c r="A382" s="139"/>
      <c r="B382" s="123"/>
      <c r="C382" s="140"/>
      <c r="D382" s="141"/>
      <c r="E382" s="143"/>
      <c r="F382" s="141"/>
      <c r="G382" s="128"/>
      <c r="H382" s="739"/>
      <c r="I382" s="460" t="s">
        <v>383</v>
      </c>
      <c r="J382" s="384" t="s">
        <v>373</v>
      </c>
      <c r="K382" s="384"/>
      <c r="L382" s="384"/>
      <c r="M382" s="383" t="s">
        <v>383</v>
      </c>
      <c r="N382" s="384" t="s">
        <v>374</v>
      </c>
      <c r="O382" s="382"/>
      <c r="P382" s="384"/>
      <c r="Q382" s="384"/>
      <c r="R382" s="382"/>
      <c r="S382" s="384"/>
      <c r="T382" s="384"/>
      <c r="U382" s="436"/>
      <c r="V382" s="382"/>
      <c r="W382" s="384"/>
      <c r="X382" s="437"/>
      <c r="Y382" s="154"/>
      <c r="Z382" s="147"/>
      <c r="AA382" s="147"/>
      <c r="AB382" s="148"/>
      <c r="AC382" s="678"/>
      <c r="AD382" s="679"/>
      <c r="AE382" s="679"/>
      <c r="AF382" s="680"/>
    </row>
    <row r="383" spans="1:36" s="109" customFormat="1" ht="18.75" customHeight="1" x14ac:dyDescent="0.2">
      <c r="A383" s="139"/>
      <c r="B383" s="123"/>
      <c r="C383" s="248"/>
      <c r="D383" s="249"/>
      <c r="E383" s="128"/>
      <c r="F383" s="142"/>
      <c r="G383" s="143"/>
      <c r="H383" s="364" t="s">
        <v>107</v>
      </c>
      <c r="I383" s="349" t="s">
        <v>383</v>
      </c>
      <c r="J383" s="350" t="s">
        <v>395</v>
      </c>
      <c r="K383" s="351"/>
      <c r="L383" s="352"/>
      <c r="M383" s="353" t="s">
        <v>383</v>
      </c>
      <c r="N383" s="350" t="s">
        <v>396</v>
      </c>
      <c r="O383" s="351"/>
      <c r="P383" s="351"/>
      <c r="Q383" s="351"/>
      <c r="R383" s="351"/>
      <c r="S383" s="351"/>
      <c r="T383" s="351"/>
      <c r="U383" s="351"/>
      <c r="V383" s="351"/>
      <c r="W383" s="351"/>
      <c r="X383" s="365"/>
      <c r="Y383" s="154"/>
      <c r="Z383" s="147"/>
      <c r="AA383" s="147"/>
      <c r="AB383" s="148"/>
      <c r="AC383" s="678"/>
      <c r="AD383" s="679"/>
      <c r="AE383" s="679"/>
      <c r="AF383" s="680"/>
      <c r="AI383" s="109" t="str">
        <f>"2B:sintaikousoku_code:" &amp; IF(I383="■",1,IF(M383="■",2,0))</f>
        <v>2B:sintaikousoku_code:0</v>
      </c>
    </row>
    <row r="384" spans="1:36" ht="19.5" customHeight="1" x14ac:dyDescent="0.2">
      <c r="A384" s="139"/>
      <c r="B384" s="123"/>
      <c r="C384" s="140"/>
      <c r="D384" s="141"/>
      <c r="E384" s="128"/>
      <c r="F384" s="142"/>
      <c r="G384" s="143"/>
      <c r="H384" s="348" t="s">
        <v>430</v>
      </c>
      <c r="I384" s="374" t="s">
        <v>383</v>
      </c>
      <c r="J384" s="350" t="s">
        <v>395</v>
      </c>
      <c r="K384" s="351"/>
      <c r="L384" s="352"/>
      <c r="M384" s="353" t="s">
        <v>383</v>
      </c>
      <c r="N384" s="350" t="s">
        <v>431</v>
      </c>
      <c r="O384" s="355"/>
      <c r="P384" s="350"/>
      <c r="Q384" s="355"/>
      <c r="R384" s="355"/>
      <c r="S384" s="355"/>
      <c r="T384" s="355"/>
      <c r="U384" s="355"/>
      <c r="V384" s="355"/>
      <c r="W384" s="355"/>
      <c r="X384" s="356"/>
      <c r="Y384" s="147"/>
      <c r="Z384" s="147"/>
      <c r="AA384" s="147"/>
      <c r="AB384" s="148"/>
      <c r="AC384" s="678"/>
      <c r="AD384" s="679"/>
      <c r="AE384" s="679"/>
      <c r="AF384" s="680"/>
      <c r="AI384" s="109" t="str">
        <f>"2B:field223:" &amp; IF(I384="■",1,IF(M384="■",2,0))</f>
        <v>2B:field223:0</v>
      </c>
    </row>
    <row r="385" spans="1:36" ht="19.5" customHeight="1" x14ac:dyDescent="0.2">
      <c r="A385" s="139"/>
      <c r="B385" s="123"/>
      <c r="C385" s="140"/>
      <c r="D385" s="141"/>
      <c r="E385" s="128"/>
      <c r="F385" s="142"/>
      <c r="G385" s="143"/>
      <c r="H385" s="348" t="s">
        <v>448</v>
      </c>
      <c r="I385" s="374" t="s">
        <v>383</v>
      </c>
      <c r="J385" s="350" t="s">
        <v>395</v>
      </c>
      <c r="K385" s="351"/>
      <c r="L385" s="352"/>
      <c r="M385" s="353" t="s">
        <v>383</v>
      </c>
      <c r="N385" s="350" t="s">
        <v>431</v>
      </c>
      <c r="O385" s="355"/>
      <c r="P385" s="350"/>
      <c r="Q385" s="355"/>
      <c r="R385" s="355"/>
      <c r="S385" s="355"/>
      <c r="T385" s="355"/>
      <c r="U385" s="355"/>
      <c r="V385" s="355"/>
      <c r="W385" s="355"/>
      <c r="X385" s="356"/>
      <c r="Y385" s="147"/>
      <c r="Z385" s="147"/>
      <c r="AA385" s="147"/>
      <c r="AB385" s="148"/>
      <c r="AC385" s="678"/>
      <c r="AD385" s="679"/>
      <c r="AE385" s="679"/>
      <c r="AF385" s="680"/>
      <c r="AI385" s="109" t="str">
        <f>"2B:field232:" &amp; IF(I385="■",1,IF(M385="■",2,0))</f>
        <v>2B:field232:0</v>
      </c>
    </row>
    <row r="386" spans="1:36" ht="18.75" customHeight="1" x14ac:dyDescent="0.2">
      <c r="A386" s="139"/>
      <c r="B386" s="123"/>
      <c r="C386" s="140"/>
      <c r="D386" s="141"/>
      <c r="E386" s="143"/>
      <c r="F386" s="141"/>
      <c r="G386" s="128"/>
      <c r="H386" s="364" t="s">
        <v>164</v>
      </c>
      <c r="I386" s="374" t="s">
        <v>383</v>
      </c>
      <c r="J386" s="350" t="s">
        <v>300</v>
      </c>
      <c r="K386" s="351"/>
      <c r="L386" s="352"/>
      <c r="M386" s="353" t="s">
        <v>383</v>
      </c>
      <c r="N386" s="350" t="s">
        <v>332</v>
      </c>
      <c r="O386" s="355"/>
      <c r="P386" s="355"/>
      <c r="Q386" s="355"/>
      <c r="R386" s="355"/>
      <c r="S386" s="355"/>
      <c r="T386" s="355"/>
      <c r="U386" s="355"/>
      <c r="V386" s="355"/>
      <c r="W386" s="355"/>
      <c r="X386" s="356"/>
      <c r="Y386" s="154"/>
      <c r="Z386" s="147"/>
      <c r="AA386" s="147"/>
      <c r="AB386" s="148"/>
      <c r="AC386" s="678"/>
      <c r="AD386" s="679"/>
      <c r="AE386" s="679"/>
      <c r="AF386" s="680"/>
      <c r="AI386" s="109" t="str">
        <f>"2B:field190:" &amp; IF(I386="■",1,IF(M386="■",2,0))</f>
        <v>2B:field190:0</v>
      </c>
    </row>
    <row r="387" spans="1:36" ht="18.75" customHeight="1" x14ac:dyDescent="0.2">
      <c r="A387" s="139"/>
      <c r="B387" s="123"/>
      <c r="C387" s="140"/>
      <c r="D387" s="141"/>
      <c r="E387" s="143"/>
      <c r="F387" s="141"/>
      <c r="G387" s="128"/>
      <c r="H387" s="364" t="s">
        <v>165</v>
      </c>
      <c r="I387" s="374" t="s">
        <v>383</v>
      </c>
      <c r="J387" s="350" t="s">
        <v>300</v>
      </c>
      <c r="K387" s="351"/>
      <c r="L387" s="352"/>
      <c r="M387" s="353" t="s">
        <v>383</v>
      </c>
      <c r="N387" s="350" t="s">
        <v>332</v>
      </c>
      <c r="O387" s="355"/>
      <c r="P387" s="355"/>
      <c r="Q387" s="355"/>
      <c r="R387" s="355"/>
      <c r="S387" s="355"/>
      <c r="T387" s="355"/>
      <c r="U387" s="355"/>
      <c r="V387" s="355"/>
      <c r="W387" s="355"/>
      <c r="X387" s="356"/>
      <c r="Y387" s="154"/>
      <c r="Z387" s="147"/>
      <c r="AA387" s="147"/>
      <c r="AB387" s="148"/>
      <c r="AC387" s="678"/>
      <c r="AD387" s="679"/>
      <c r="AE387" s="679"/>
      <c r="AF387" s="680"/>
      <c r="AI387" s="109" t="str">
        <f>"2B:field191:" &amp; IF(I387="■",1,IF(M387="■",2,0))</f>
        <v>2B:field191:0</v>
      </c>
    </row>
    <row r="388" spans="1:36" ht="18.75" customHeight="1" x14ac:dyDescent="0.2">
      <c r="A388" s="125" t="s">
        <v>383</v>
      </c>
      <c r="B388" s="123" t="s">
        <v>498</v>
      </c>
      <c r="C388" s="140" t="s">
        <v>489</v>
      </c>
      <c r="D388" s="125" t="s">
        <v>383</v>
      </c>
      <c r="E388" s="143" t="s">
        <v>502</v>
      </c>
      <c r="F388" s="125" t="s">
        <v>383</v>
      </c>
      <c r="G388" s="128" t="s">
        <v>379</v>
      </c>
      <c r="H388" s="364" t="s">
        <v>486</v>
      </c>
      <c r="I388" s="374" t="s">
        <v>383</v>
      </c>
      <c r="J388" s="350" t="s">
        <v>250</v>
      </c>
      <c r="K388" s="351"/>
      <c r="L388" s="353" t="s">
        <v>383</v>
      </c>
      <c r="M388" s="350" t="s">
        <v>267</v>
      </c>
      <c r="N388" s="355"/>
      <c r="O388" s="355"/>
      <c r="P388" s="355"/>
      <c r="Q388" s="355"/>
      <c r="R388" s="355"/>
      <c r="S388" s="355"/>
      <c r="T388" s="355"/>
      <c r="U388" s="355"/>
      <c r="V388" s="355"/>
      <c r="W388" s="355"/>
      <c r="X388" s="356"/>
      <c r="Y388" s="154"/>
      <c r="Z388" s="147"/>
      <c r="AA388" s="147"/>
      <c r="AB388" s="148"/>
      <c r="AC388" s="678"/>
      <c r="AD388" s="679"/>
      <c r="AE388" s="679"/>
      <c r="AF388" s="680"/>
      <c r="AI388" s="109" t="str">
        <f>"2B:jyakuninti_uke_code:" &amp; IF(I388="■",1,IF(L388="■",2,0))</f>
        <v>2B:jyakuninti_uke_code:0</v>
      </c>
    </row>
    <row r="389" spans="1:36" ht="18.75" customHeight="1" x14ac:dyDescent="0.2">
      <c r="A389" s="141"/>
      <c r="B389" s="123"/>
      <c r="C389" s="140"/>
      <c r="D389" s="141"/>
      <c r="E389" s="143"/>
      <c r="F389" s="141"/>
      <c r="G389" s="128"/>
      <c r="H389" s="364" t="s">
        <v>95</v>
      </c>
      <c r="I389" s="374" t="s">
        <v>383</v>
      </c>
      <c r="J389" s="350" t="s">
        <v>265</v>
      </c>
      <c r="K389" s="351"/>
      <c r="L389" s="352"/>
      <c r="M389" s="353" t="s">
        <v>383</v>
      </c>
      <c r="N389" s="350" t="s">
        <v>266</v>
      </c>
      <c r="O389" s="355"/>
      <c r="P389" s="355"/>
      <c r="Q389" s="355"/>
      <c r="R389" s="355"/>
      <c r="S389" s="355"/>
      <c r="T389" s="355"/>
      <c r="U389" s="355"/>
      <c r="V389" s="355"/>
      <c r="W389" s="355"/>
      <c r="X389" s="356"/>
      <c r="Y389" s="154"/>
      <c r="Z389" s="147"/>
      <c r="AA389" s="147"/>
      <c r="AB389" s="148"/>
      <c r="AC389" s="678"/>
      <c r="AD389" s="679"/>
      <c r="AE389" s="679"/>
      <c r="AF389" s="680"/>
      <c r="AI389" s="109" t="str">
        <f>"2B:sougei_code:" &amp; IF(I389="■",1,IF(M389="■",2,0))</f>
        <v>2B:sougei_code:0</v>
      </c>
    </row>
    <row r="390" spans="1:36" ht="19.5" customHeight="1" x14ac:dyDescent="0.2">
      <c r="A390" s="139"/>
      <c r="B390" s="123"/>
      <c r="C390" s="140"/>
      <c r="D390" s="141"/>
      <c r="E390" s="143"/>
      <c r="F390" s="141"/>
      <c r="G390" s="128"/>
      <c r="H390" s="348" t="s">
        <v>433</v>
      </c>
      <c r="I390" s="374" t="s">
        <v>383</v>
      </c>
      <c r="J390" s="350" t="s">
        <v>250</v>
      </c>
      <c r="K390" s="350"/>
      <c r="L390" s="353" t="s">
        <v>383</v>
      </c>
      <c r="M390" s="350" t="s">
        <v>267</v>
      </c>
      <c r="N390" s="350"/>
      <c r="O390" s="355"/>
      <c r="P390" s="350"/>
      <c r="Q390" s="355"/>
      <c r="R390" s="355"/>
      <c r="S390" s="355"/>
      <c r="T390" s="355"/>
      <c r="U390" s="355"/>
      <c r="V390" s="355"/>
      <c r="W390" s="355"/>
      <c r="X390" s="356"/>
      <c r="Y390" s="147"/>
      <c r="Z390" s="147"/>
      <c r="AA390" s="147"/>
      <c r="AB390" s="148"/>
      <c r="AC390" s="678"/>
      <c r="AD390" s="679"/>
      <c r="AE390" s="679"/>
      <c r="AF390" s="680"/>
      <c r="AI390" s="109" t="str">
        <f>"2B:field224:" &amp; IF(I390="■",1,IF(L390="■",2,0))</f>
        <v>2B:field224:0</v>
      </c>
    </row>
    <row r="391" spans="1:36" ht="18.75" customHeight="1" x14ac:dyDescent="0.2">
      <c r="A391" s="139"/>
      <c r="B391" s="123"/>
      <c r="C391" s="140"/>
      <c r="D391" s="141"/>
      <c r="E391" s="143"/>
      <c r="F391" s="141"/>
      <c r="G391" s="128"/>
      <c r="H391" s="364" t="s">
        <v>112</v>
      </c>
      <c r="I391" s="374" t="s">
        <v>383</v>
      </c>
      <c r="J391" s="350" t="s">
        <v>250</v>
      </c>
      <c r="K391" s="351"/>
      <c r="L391" s="353" t="s">
        <v>383</v>
      </c>
      <c r="M391" s="350" t="s">
        <v>267</v>
      </c>
      <c r="N391" s="355"/>
      <c r="O391" s="355"/>
      <c r="P391" s="355"/>
      <c r="Q391" s="355"/>
      <c r="R391" s="355"/>
      <c r="S391" s="355"/>
      <c r="T391" s="355"/>
      <c r="U391" s="355"/>
      <c r="V391" s="355"/>
      <c r="W391" s="355"/>
      <c r="X391" s="356"/>
      <c r="Y391" s="154"/>
      <c r="Z391" s="147"/>
      <c r="AA391" s="147"/>
      <c r="AB391" s="148"/>
      <c r="AC391" s="678"/>
      <c r="AD391" s="679"/>
      <c r="AE391" s="679"/>
      <c r="AF391" s="680"/>
      <c r="AI391" s="109" t="str">
        <f>"2B:ryouyoushoku_code:" &amp; IF(I391="■",1,IF(L391="■",2,0))</f>
        <v>2B:ryouyoushoku_code:0</v>
      </c>
    </row>
    <row r="392" spans="1:36" ht="18.75" customHeight="1" x14ac:dyDescent="0.2">
      <c r="A392" s="139"/>
      <c r="B392" s="123"/>
      <c r="C392" s="140"/>
      <c r="D392" s="141"/>
      <c r="E392" s="143"/>
      <c r="F392" s="141"/>
      <c r="G392" s="128"/>
      <c r="H392" s="364" t="s">
        <v>116</v>
      </c>
      <c r="I392" s="374" t="s">
        <v>383</v>
      </c>
      <c r="J392" s="350" t="s">
        <v>250</v>
      </c>
      <c r="K392" s="350"/>
      <c r="L392" s="353" t="s">
        <v>383</v>
      </c>
      <c r="M392" s="350" t="s">
        <v>251</v>
      </c>
      <c r="N392" s="350"/>
      <c r="O392" s="353" t="s">
        <v>383</v>
      </c>
      <c r="P392" s="350" t="s">
        <v>252</v>
      </c>
      <c r="Q392" s="355"/>
      <c r="R392" s="355"/>
      <c r="S392" s="355"/>
      <c r="T392" s="355"/>
      <c r="U392" s="355"/>
      <c r="V392" s="355"/>
      <c r="W392" s="355"/>
      <c r="X392" s="356"/>
      <c r="Y392" s="154"/>
      <c r="Z392" s="147"/>
      <c r="AA392" s="147"/>
      <c r="AB392" s="148"/>
      <c r="AC392" s="678"/>
      <c r="AD392" s="679"/>
      <c r="AE392" s="679"/>
      <c r="AF392" s="680"/>
      <c r="AI392" s="109" t="str">
        <f>"2B:ninti_senmoncare_code:" &amp; IF(I392="■",1,IF(O392="■",3,IF(L392="■",2,0)))</f>
        <v>2B:ninti_senmoncare_code:0</v>
      </c>
    </row>
    <row r="393" spans="1:36" ht="18.75" customHeight="1" x14ac:dyDescent="0.2">
      <c r="A393" s="141"/>
      <c r="B393" s="123"/>
      <c r="C393" s="140"/>
      <c r="D393" s="141"/>
      <c r="E393" s="143"/>
      <c r="F393" s="141"/>
      <c r="G393" s="128"/>
      <c r="H393" s="435" t="s">
        <v>442</v>
      </c>
      <c r="I393" s="374" t="s">
        <v>383</v>
      </c>
      <c r="J393" s="350" t="s">
        <v>250</v>
      </c>
      <c r="K393" s="350"/>
      <c r="L393" s="353" t="s">
        <v>383</v>
      </c>
      <c r="M393" s="350" t="s">
        <v>251</v>
      </c>
      <c r="N393" s="350"/>
      <c r="O393" s="353" t="s">
        <v>383</v>
      </c>
      <c r="P393" s="350" t="s">
        <v>252</v>
      </c>
      <c r="Q393" s="355"/>
      <c r="R393" s="355"/>
      <c r="S393" s="355"/>
      <c r="T393" s="355"/>
      <c r="U393" s="410"/>
      <c r="V393" s="410"/>
      <c r="W393" s="410"/>
      <c r="X393" s="411"/>
      <c r="Y393" s="154"/>
      <c r="Z393" s="147"/>
      <c r="AA393" s="147"/>
      <c r="AB393" s="148"/>
      <c r="AC393" s="678"/>
      <c r="AD393" s="679"/>
      <c r="AE393" s="679"/>
      <c r="AF393" s="680"/>
      <c r="AI393" s="109" t="str">
        <f>"2B:field225:" &amp; IF(I393="■",1,IF(L393="■",2,IF(O393="■",3,0)))</f>
        <v>2B:field225:0</v>
      </c>
    </row>
    <row r="394" spans="1:36" ht="18.75" customHeight="1" x14ac:dyDescent="0.2">
      <c r="A394" s="139"/>
      <c r="B394" s="123"/>
      <c r="C394" s="140"/>
      <c r="D394" s="141"/>
      <c r="E394" s="143"/>
      <c r="F394" s="141"/>
      <c r="G394" s="128"/>
      <c r="H394" s="364" t="s">
        <v>118</v>
      </c>
      <c r="I394" s="374" t="s">
        <v>383</v>
      </c>
      <c r="J394" s="350" t="s">
        <v>250</v>
      </c>
      <c r="K394" s="350"/>
      <c r="L394" s="353" t="s">
        <v>383</v>
      </c>
      <c r="M394" s="350" t="s">
        <v>258</v>
      </c>
      <c r="N394" s="350"/>
      <c r="O394" s="353" t="s">
        <v>383</v>
      </c>
      <c r="P394" s="350" t="s">
        <v>259</v>
      </c>
      <c r="Q394" s="420"/>
      <c r="R394" s="353" t="s">
        <v>383</v>
      </c>
      <c r="S394" s="350" t="s">
        <v>283</v>
      </c>
      <c r="T394" s="420"/>
      <c r="U394" s="420"/>
      <c r="V394" s="420"/>
      <c r="W394" s="420"/>
      <c r="X394" s="440"/>
      <c r="Y394" s="154"/>
      <c r="Z394" s="147"/>
      <c r="AA394" s="147"/>
      <c r="AB394" s="148"/>
      <c r="AC394" s="678"/>
      <c r="AD394" s="679"/>
      <c r="AE394" s="679"/>
      <c r="AF394" s="680"/>
      <c r="AI394" s="109" t="str">
        <f>"2B:serteikyo_kyoka_code:" &amp; IF(I394="■",1,IF(L394="■",6,IF(O394="■",5,IF(R394="■",7,0))))</f>
        <v>2B:serteikyo_kyoka_code:0</v>
      </c>
    </row>
    <row r="395" spans="1:36" ht="18.75" customHeight="1" x14ac:dyDescent="0.2">
      <c r="A395" s="139"/>
      <c r="B395" s="123"/>
      <c r="C395" s="140"/>
      <c r="D395" s="141"/>
      <c r="E395" s="143"/>
      <c r="F395" s="141"/>
      <c r="G395" s="128"/>
      <c r="H395" s="713" t="s">
        <v>805</v>
      </c>
      <c r="I395" s="747" t="s">
        <v>383</v>
      </c>
      <c r="J395" s="746" t="s">
        <v>250</v>
      </c>
      <c r="K395" s="746"/>
      <c r="L395" s="747" t="s">
        <v>383</v>
      </c>
      <c r="M395" s="746" t="s">
        <v>267</v>
      </c>
      <c r="N395" s="746"/>
      <c r="O395" s="378"/>
      <c r="P395" s="378"/>
      <c r="Q395" s="378"/>
      <c r="R395" s="378"/>
      <c r="S395" s="378"/>
      <c r="T395" s="378"/>
      <c r="U395" s="378"/>
      <c r="V395" s="378"/>
      <c r="W395" s="378"/>
      <c r="X395" s="379"/>
      <c r="Y395" s="154"/>
      <c r="Z395" s="147"/>
      <c r="AA395" s="147"/>
      <c r="AB395" s="148"/>
      <c r="AC395" s="678"/>
      <c r="AD395" s="679"/>
      <c r="AE395" s="679"/>
      <c r="AF395" s="680"/>
      <c r="AI395" s="109" t="str">
        <f>"2B:field221:" &amp; IF(I395="■",1,IF(L395="■",2,0))</f>
        <v>2B:field221:0</v>
      </c>
    </row>
    <row r="396" spans="1:36" ht="18.75" customHeight="1" x14ac:dyDescent="0.2">
      <c r="A396" s="139"/>
      <c r="B396" s="123"/>
      <c r="C396" s="140"/>
      <c r="D396" s="141"/>
      <c r="E396" s="143"/>
      <c r="F396" s="141"/>
      <c r="G396" s="128"/>
      <c r="H396" s="737"/>
      <c r="I396" s="747"/>
      <c r="J396" s="746"/>
      <c r="K396" s="746"/>
      <c r="L396" s="747"/>
      <c r="M396" s="746"/>
      <c r="N396" s="746"/>
      <c r="O396" s="384"/>
      <c r="P396" s="384"/>
      <c r="Q396" s="384"/>
      <c r="R396" s="384"/>
      <c r="S396" s="384"/>
      <c r="T396" s="384"/>
      <c r="U396" s="384"/>
      <c r="V396" s="384"/>
      <c r="W396" s="384"/>
      <c r="X396" s="385"/>
      <c r="Y396" s="154"/>
      <c r="Z396" s="147"/>
      <c r="AA396" s="147"/>
      <c r="AB396" s="148"/>
      <c r="AC396" s="678"/>
      <c r="AD396" s="679"/>
      <c r="AE396" s="679"/>
      <c r="AF396" s="680"/>
    </row>
    <row r="397" spans="1:36" s="621" customFormat="1" ht="19.8" customHeight="1" x14ac:dyDescent="0.2">
      <c r="A397" s="139"/>
      <c r="B397" s="670"/>
      <c r="C397" s="140"/>
      <c r="D397" s="141"/>
      <c r="E397" s="128"/>
      <c r="F397" s="142"/>
      <c r="G397" s="143"/>
      <c r="H397" s="713" t="s">
        <v>790</v>
      </c>
      <c r="I397" s="642" t="s">
        <v>383</v>
      </c>
      <c r="J397" s="616" t="s">
        <v>627</v>
      </c>
      <c r="K397" s="616"/>
      <c r="L397" s="615"/>
      <c r="M397" s="644" t="s">
        <v>383</v>
      </c>
      <c r="N397" s="616" t="s">
        <v>791</v>
      </c>
      <c r="O397" s="617"/>
      <c r="P397" s="615"/>
      <c r="Q397" s="644" t="s">
        <v>383</v>
      </c>
      <c r="R397" s="618" t="s">
        <v>792</v>
      </c>
      <c r="S397" s="615"/>
      <c r="T397" s="615"/>
      <c r="U397" s="615"/>
      <c r="V397" s="618"/>
      <c r="W397" s="619"/>
      <c r="X397" s="620"/>
      <c r="Y397" s="154"/>
      <c r="Z397" s="147"/>
      <c r="AA397" s="147"/>
      <c r="AB397" s="148"/>
      <c r="AC397" s="678"/>
      <c r="AD397" s="679"/>
      <c r="AE397" s="679"/>
      <c r="AF397" s="680"/>
    </row>
    <row r="398" spans="1:36" s="621" customFormat="1" ht="21" customHeight="1" x14ac:dyDescent="0.2">
      <c r="A398" s="139"/>
      <c r="B398" s="670"/>
      <c r="C398" s="140"/>
      <c r="D398" s="141"/>
      <c r="E398" s="128"/>
      <c r="F398" s="142"/>
      <c r="G398" s="143"/>
      <c r="H398" s="714"/>
      <c r="I398" s="645" t="s">
        <v>383</v>
      </c>
      <c r="J398" s="623" t="s">
        <v>793</v>
      </c>
      <c r="K398" s="623"/>
      <c r="L398" s="622"/>
      <c r="M398" s="645" t="s">
        <v>383</v>
      </c>
      <c r="N398" s="623" t="s">
        <v>794</v>
      </c>
      <c r="O398" s="624"/>
      <c r="P398" s="622"/>
      <c r="Q398" s="645" t="s">
        <v>383</v>
      </c>
      <c r="R398" s="623" t="s">
        <v>795</v>
      </c>
      <c r="S398" s="622"/>
      <c r="T398" s="623"/>
      <c r="U398" s="645" t="s">
        <v>383</v>
      </c>
      <c r="V398" s="623" t="s">
        <v>796</v>
      </c>
      <c r="W398" s="625"/>
      <c r="X398" s="626"/>
      <c r="Y398" s="154"/>
      <c r="Z398" s="147"/>
      <c r="AA398" s="147"/>
      <c r="AB398" s="148"/>
      <c r="AC398" s="678"/>
      <c r="AD398" s="679"/>
      <c r="AE398" s="679"/>
      <c r="AF398" s="680"/>
    </row>
    <row r="399" spans="1:36" ht="18.75" customHeight="1" x14ac:dyDescent="0.2">
      <c r="A399" s="129"/>
      <c r="B399" s="116"/>
      <c r="C399" s="130"/>
      <c r="D399" s="131"/>
      <c r="E399" s="133"/>
      <c r="F399" s="131"/>
      <c r="G399" s="121"/>
      <c r="H399" s="740" t="s">
        <v>97</v>
      </c>
      <c r="I399" s="374" t="s">
        <v>383</v>
      </c>
      <c r="J399" s="413" t="s">
        <v>300</v>
      </c>
      <c r="K399" s="414"/>
      <c r="L399" s="415"/>
      <c r="M399" s="416" t="s">
        <v>383</v>
      </c>
      <c r="N399" s="413" t="s">
        <v>328</v>
      </c>
      <c r="O399" s="417"/>
      <c r="P399" s="417"/>
      <c r="Q399" s="416" t="s">
        <v>383</v>
      </c>
      <c r="R399" s="413" t="s">
        <v>329</v>
      </c>
      <c r="S399" s="417"/>
      <c r="T399" s="417"/>
      <c r="U399" s="416" t="s">
        <v>383</v>
      </c>
      <c r="V399" s="413" t="s">
        <v>330</v>
      </c>
      <c r="W399" s="417"/>
      <c r="X399" s="418"/>
      <c r="Y399" s="138" t="s">
        <v>383</v>
      </c>
      <c r="Z399" s="119" t="s">
        <v>249</v>
      </c>
      <c r="AA399" s="119"/>
      <c r="AB399" s="137"/>
      <c r="AC399" s="675"/>
      <c r="AD399" s="676"/>
      <c r="AE399" s="676"/>
      <c r="AF399" s="677"/>
      <c r="AG399" s="109" t="str">
        <f>"ser_code = '" &amp; IF(A408="■","2B","") &amp; "'"</f>
        <v>ser_code = ''</v>
      </c>
      <c r="AH399" s="109" t="str">
        <f>"2B:jininkbn_code:"&amp;IF(F408="■",2,0)</f>
        <v>2B:jininkbn_code:0</v>
      </c>
      <c r="AI399" s="109" t="str">
        <f>"2B:yakan_kinmu_code:" &amp; IF(I399="■",1,IF(M399="■",2,IF(Q399="■",3,IF(U399="■",7,IF(I400="■",5,IF(M400="■",6,0))))))</f>
        <v>2B:yakan_kinmu_code:0</v>
      </c>
      <c r="AJ399" s="109" t="str">
        <f>"2B:field203:" &amp; IF(Y399="■",1,IF(Y400="■",2,0))</f>
        <v>2B:field203:0</v>
      </c>
    </row>
    <row r="400" spans="1:36" ht="18.75" customHeight="1" x14ac:dyDescent="0.2">
      <c r="A400" s="139"/>
      <c r="B400" s="123"/>
      <c r="C400" s="140"/>
      <c r="D400" s="141"/>
      <c r="E400" s="143"/>
      <c r="F400" s="141"/>
      <c r="G400" s="128"/>
      <c r="H400" s="739"/>
      <c r="I400" s="460" t="s">
        <v>383</v>
      </c>
      <c r="J400" s="381" t="s">
        <v>331</v>
      </c>
      <c r="K400" s="419"/>
      <c r="L400" s="382"/>
      <c r="M400" s="383" t="s">
        <v>383</v>
      </c>
      <c r="N400" s="381" t="s">
        <v>301</v>
      </c>
      <c r="O400" s="384"/>
      <c r="P400" s="384"/>
      <c r="Q400" s="384"/>
      <c r="R400" s="384"/>
      <c r="S400" s="384"/>
      <c r="T400" s="384"/>
      <c r="U400" s="384"/>
      <c r="V400" s="384"/>
      <c r="W400" s="384"/>
      <c r="X400" s="385"/>
      <c r="Y400" s="118" t="s">
        <v>383</v>
      </c>
      <c r="Z400" s="126" t="s">
        <v>255</v>
      </c>
      <c r="AA400" s="147"/>
      <c r="AB400" s="148"/>
      <c r="AC400" s="678"/>
      <c r="AD400" s="679"/>
      <c r="AE400" s="679"/>
      <c r="AF400" s="680"/>
      <c r="AG400" s="109" t="str">
        <f>"2B:sisetukbn_code:"&amp;IF(D408="■","3",0)</f>
        <v>2B:sisetukbn_code:0</v>
      </c>
      <c r="AH400" s="109"/>
      <c r="AI400" s="109"/>
      <c r="AJ400" s="109"/>
    </row>
    <row r="401" spans="1:36" ht="18.75" customHeight="1" x14ac:dyDescent="0.2">
      <c r="A401" s="139"/>
      <c r="B401" s="123"/>
      <c r="C401" s="140"/>
      <c r="D401" s="141"/>
      <c r="E401" s="143"/>
      <c r="F401" s="141"/>
      <c r="G401" s="128"/>
      <c r="H401" s="738" t="s">
        <v>93</v>
      </c>
      <c r="I401" s="374" t="s">
        <v>383</v>
      </c>
      <c r="J401" s="375" t="s">
        <v>250</v>
      </c>
      <c r="K401" s="375"/>
      <c r="L401" s="376"/>
      <c r="M401" s="377" t="s">
        <v>383</v>
      </c>
      <c r="N401" s="375" t="s">
        <v>289</v>
      </c>
      <c r="O401" s="375"/>
      <c r="P401" s="376"/>
      <c r="Q401" s="377" t="s">
        <v>383</v>
      </c>
      <c r="R401" s="378" t="s">
        <v>372</v>
      </c>
      <c r="S401" s="378"/>
      <c r="T401" s="378"/>
      <c r="U401" s="410"/>
      <c r="V401" s="376"/>
      <c r="W401" s="378"/>
      <c r="X401" s="411"/>
      <c r="Y401" s="154"/>
      <c r="Z401" s="147"/>
      <c r="AA401" s="147"/>
      <c r="AB401" s="148"/>
      <c r="AC401" s="678"/>
      <c r="AD401" s="679"/>
      <c r="AE401" s="679"/>
      <c r="AF401" s="680"/>
      <c r="AG401" s="109"/>
      <c r="AH401" s="109"/>
      <c r="AI401" s="109" t="str">
        <f>"2B:"&amp;IF(AND(I401="□",M401="□",Q401="□",I402="□",M402="□"),"ketu_doctor_code:0",IF(I401="■","ketu_doctor_code:1:field197:1:ketu_kangos_code:1:ketu_kshoku_code:1",IF(M401="■","ketu_doctor_code:2","ketu_doctor_code:1")
&amp;IF(Q401="■",":field197:2",":field197:1")
&amp;IF(I402="■",":ketu_kangos_code:2",":ketu_kangos_code:1")
&amp;IF(M402="■",":ketu_kshoku_code:2",":ketu_kshoku_code:1")))</f>
        <v>2B:ketu_doctor_code:0</v>
      </c>
      <c r="AJ401" s="109"/>
    </row>
    <row r="402" spans="1:36" ht="18.75" customHeight="1" x14ac:dyDescent="0.2">
      <c r="A402" s="139"/>
      <c r="B402" s="123"/>
      <c r="C402" s="140"/>
      <c r="D402" s="141"/>
      <c r="E402" s="143"/>
      <c r="F402" s="141"/>
      <c r="G402" s="128"/>
      <c r="H402" s="739"/>
      <c r="I402" s="460" t="s">
        <v>383</v>
      </c>
      <c r="J402" s="384" t="s">
        <v>373</v>
      </c>
      <c r="K402" s="384"/>
      <c r="L402" s="384"/>
      <c r="M402" s="383" t="s">
        <v>383</v>
      </c>
      <c r="N402" s="384" t="s">
        <v>374</v>
      </c>
      <c r="O402" s="382"/>
      <c r="P402" s="384"/>
      <c r="Q402" s="384"/>
      <c r="R402" s="382"/>
      <c r="S402" s="384"/>
      <c r="T402" s="384"/>
      <c r="U402" s="436"/>
      <c r="V402" s="382"/>
      <c r="W402" s="384"/>
      <c r="X402" s="437"/>
      <c r="Y402" s="154"/>
      <c r="Z402" s="147"/>
      <c r="AA402" s="147"/>
      <c r="AB402" s="148"/>
      <c r="AC402" s="678"/>
      <c r="AD402" s="679"/>
      <c r="AE402" s="679"/>
      <c r="AF402" s="680"/>
    </row>
    <row r="403" spans="1:36" s="109" customFormat="1" ht="18.75" customHeight="1" x14ac:dyDescent="0.2">
      <c r="A403" s="139"/>
      <c r="B403" s="123"/>
      <c r="C403" s="248"/>
      <c r="D403" s="249"/>
      <c r="E403" s="128"/>
      <c r="F403" s="142"/>
      <c r="G403" s="143"/>
      <c r="H403" s="364" t="s">
        <v>107</v>
      </c>
      <c r="I403" s="349" t="s">
        <v>383</v>
      </c>
      <c r="J403" s="350" t="s">
        <v>395</v>
      </c>
      <c r="K403" s="351"/>
      <c r="L403" s="352"/>
      <c r="M403" s="353" t="s">
        <v>383</v>
      </c>
      <c r="N403" s="350" t="s">
        <v>396</v>
      </c>
      <c r="O403" s="351"/>
      <c r="P403" s="351"/>
      <c r="Q403" s="351"/>
      <c r="R403" s="351"/>
      <c r="S403" s="351"/>
      <c r="T403" s="351"/>
      <c r="U403" s="351"/>
      <c r="V403" s="351"/>
      <c r="W403" s="351"/>
      <c r="X403" s="365"/>
      <c r="Y403" s="154"/>
      <c r="Z403" s="147"/>
      <c r="AA403" s="147"/>
      <c r="AB403" s="148"/>
      <c r="AC403" s="678"/>
      <c r="AD403" s="679"/>
      <c r="AE403" s="679"/>
      <c r="AF403" s="680"/>
      <c r="AI403" s="109" t="str">
        <f>"2B:sintaikousoku_code:" &amp; IF(I403="■",1,IF(M403="■",2,0))</f>
        <v>2B:sintaikousoku_code:0</v>
      </c>
    </row>
    <row r="404" spans="1:36" ht="19.5" customHeight="1" x14ac:dyDescent="0.2">
      <c r="A404" s="139"/>
      <c r="B404" s="123"/>
      <c r="C404" s="140"/>
      <c r="D404" s="141"/>
      <c r="E404" s="128"/>
      <c r="F404" s="142"/>
      <c r="G404" s="143"/>
      <c r="H404" s="348" t="s">
        <v>430</v>
      </c>
      <c r="I404" s="374" t="s">
        <v>383</v>
      </c>
      <c r="J404" s="350" t="s">
        <v>395</v>
      </c>
      <c r="K404" s="351"/>
      <c r="L404" s="352"/>
      <c r="M404" s="353" t="s">
        <v>383</v>
      </c>
      <c r="N404" s="350" t="s">
        <v>431</v>
      </c>
      <c r="O404" s="355"/>
      <c r="P404" s="350"/>
      <c r="Q404" s="355"/>
      <c r="R404" s="355"/>
      <c r="S404" s="355"/>
      <c r="T404" s="355"/>
      <c r="U404" s="355"/>
      <c r="V404" s="355"/>
      <c r="W404" s="355"/>
      <c r="X404" s="356"/>
      <c r="Y404" s="147"/>
      <c r="Z404" s="147"/>
      <c r="AA404" s="147"/>
      <c r="AB404" s="148"/>
      <c r="AC404" s="678"/>
      <c r="AD404" s="679"/>
      <c r="AE404" s="679"/>
      <c r="AF404" s="680"/>
      <c r="AI404" s="109" t="str">
        <f>"2B:field223:" &amp; IF(I404="■",1,IF(M404="■",2,0))</f>
        <v>2B:field223:0</v>
      </c>
    </row>
    <row r="405" spans="1:36" ht="19.5" customHeight="1" x14ac:dyDescent="0.2">
      <c r="A405" s="139"/>
      <c r="B405" s="123"/>
      <c r="C405" s="140"/>
      <c r="D405" s="141"/>
      <c r="E405" s="128"/>
      <c r="F405" s="142"/>
      <c r="G405" s="143"/>
      <c r="H405" s="348" t="s">
        <v>448</v>
      </c>
      <c r="I405" s="374" t="s">
        <v>383</v>
      </c>
      <c r="J405" s="350" t="s">
        <v>395</v>
      </c>
      <c r="K405" s="351"/>
      <c r="L405" s="352"/>
      <c r="M405" s="353" t="s">
        <v>383</v>
      </c>
      <c r="N405" s="350" t="s">
        <v>431</v>
      </c>
      <c r="O405" s="355"/>
      <c r="P405" s="350"/>
      <c r="Q405" s="355"/>
      <c r="R405" s="355"/>
      <c r="S405" s="355"/>
      <c r="T405" s="355"/>
      <c r="U405" s="355"/>
      <c r="V405" s="355"/>
      <c r="W405" s="355"/>
      <c r="X405" s="356"/>
      <c r="Y405" s="147"/>
      <c r="Z405" s="147"/>
      <c r="AA405" s="147"/>
      <c r="AB405" s="148"/>
      <c r="AC405" s="678"/>
      <c r="AD405" s="679"/>
      <c r="AE405" s="679"/>
      <c r="AF405" s="680"/>
      <c r="AI405" s="109" t="str">
        <f>"2B:field232:" &amp; IF(I405="■",1,IF(M405="■",2,0))</f>
        <v>2B:field232:0</v>
      </c>
    </row>
    <row r="406" spans="1:36" ht="18.75" customHeight="1" x14ac:dyDescent="0.2">
      <c r="A406" s="139"/>
      <c r="B406" s="123"/>
      <c r="C406" s="140"/>
      <c r="D406" s="141"/>
      <c r="E406" s="143"/>
      <c r="F406" s="141"/>
      <c r="G406" s="128"/>
      <c r="H406" s="364" t="s">
        <v>164</v>
      </c>
      <c r="I406" s="374" t="s">
        <v>383</v>
      </c>
      <c r="J406" s="350" t="s">
        <v>300</v>
      </c>
      <c r="K406" s="351"/>
      <c r="L406" s="352"/>
      <c r="M406" s="353" t="s">
        <v>383</v>
      </c>
      <c r="N406" s="350" t="s">
        <v>332</v>
      </c>
      <c r="O406" s="355"/>
      <c r="P406" s="355"/>
      <c r="Q406" s="355"/>
      <c r="R406" s="355"/>
      <c r="S406" s="355"/>
      <c r="T406" s="355"/>
      <c r="U406" s="355"/>
      <c r="V406" s="355"/>
      <c r="W406" s="355"/>
      <c r="X406" s="356"/>
      <c r="Y406" s="154"/>
      <c r="Z406" s="147"/>
      <c r="AA406" s="147"/>
      <c r="AB406" s="148"/>
      <c r="AC406" s="678"/>
      <c r="AD406" s="679"/>
      <c r="AE406" s="679"/>
      <c r="AF406" s="680"/>
      <c r="AI406" s="109" t="str">
        <f>"2B:field190:" &amp; IF(I406="■",1,IF(M406="■",2,0))</f>
        <v>2B:field190:0</v>
      </c>
    </row>
    <row r="407" spans="1:36" ht="18.75" customHeight="1" x14ac:dyDescent="0.2">
      <c r="A407" s="139"/>
      <c r="B407" s="123"/>
      <c r="C407" s="140"/>
      <c r="D407" s="141"/>
      <c r="E407" s="143"/>
      <c r="F407" s="141"/>
      <c r="G407" s="128"/>
      <c r="H407" s="364" t="s">
        <v>165</v>
      </c>
      <c r="I407" s="374" t="s">
        <v>383</v>
      </c>
      <c r="J407" s="350" t="s">
        <v>300</v>
      </c>
      <c r="K407" s="351"/>
      <c r="L407" s="352"/>
      <c r="M407" s="353" t="s">
        <v>383</v>
      </c>
      <c r="N407" s="350" t="s">
        <v>332</v>
      </c>
      <c r="O407" s="355"/>
      <c r="P407" s="355"/>
      <c r="Q407" s="355"/>
      <c r="R407" s="355"/>
      <c r="S407" s="355"/>
      <c r="T407" s="355"/>
      <c r="U407" s="355"/>
      <c r="V407" s="355"/>
      <c r="W407" s="355"/>
      <c r="X407" s="356"/>
      <c r="Y407" s="154"/>
      <c r="Z407" s="147"/>
      <c r="AA407" s="147"/>
      <c r="AB407" s="148"/>
      <c r="AC407" s="678"/>
      <c r="AD407" s="679"/>
      <c r="AE407" s="679"/>
      <c r="AF407" s="680"/>
      <c r="AI407" s="109" t="str">
        <f>"2B:field191:" &amp; IF(I407="■",1,IF(M407="■",2,0))</f>
        <v>2B:field191:0</v>
      </c>
    </row>
    <row r="408" spans="1:36" s="1" customFormat="1" ht="19.5" customHeight="1" x14ac:dyDescent="0.2">
      <c r="A408" s="125" t="s">
        <v>383</v>
      </c>
      <c r="B408" s="123" t="s">
        <v>498</v>
      </c>
      <c r="C408" s="140" t="s">
        <v>489</v>
      </c>
      <c r="D408" s="125" t="s">
        <v>383</v>
      </c>
      <c r="E408" s="143" t="s">
        <v>502</v>
      </c>
      <c r="F408" s="125" t="s">
        <v>383</v>
      </c>
      <c r="G408" s="128" t="s">
        <v>365</v>
      </c>
      <c r="H408" s="348" t="s">
        <v>638</v>
      </c>
      <c r="I408" s="349" t="s">
        <v>383</v>
      </c>
      <c r="J408" s="381" t="s">
        <v>624</v>
      </c>
      <c r="K408" s="419"/>
      <c r="L408" s="382"/>
      <c r="M408" s="353" t="s">
        <v>383</v>
      </c>
      <c r="N408" s="381" t="s">
        <v>625</v>
      </c>
      <c r="O408" s="466"/>
      <c r="P408" s="381"/>
      <c r="Q408" s="436"/>
      <c r="R408" s="436"/>
      <c r="S408" s="436"/>
      <c r="T408" s="436"/>
      <c r="U408" s="436"/>
      <c r="V408" s="436"/>
      <c r="W408" s="436"/>
      <c r="X408" s="437"/>
      <c r="Y408" s="85"/>
      <c r="Z408" s="2"/>
      <c r="AA408" s="92"/>
      <c r="AB408" s="102"/>
      <c r="AC408" s="678"/>
      <c r="AD408" s="679"/>
      <c r="AE408" s="679"/>
      <c r="AF408" s="680"/>
      <c r="AI408" s="109" t="str">
        <f>"2B:field242:" &amp; IF(I408="■",1,IF(M408="■",2,0))</f>
        <v>2B:field242:0</v>
      </c>
    </row>
    <row r="409" spans="1:36" ht="18.75" customHeight="1" x14ac:dyDescent="0.2">
      <c r="A409" s="141"/>
      <c r="B409" s="123"/>
      <c r="C409" s="140"/>
      <c r="D409" s="141"/>
      <c r="E409" s="143"/>
      <c r="F409" s="141"/>
      <c r="G409" s="128"/>
      <c r="H409" s="364" t="s">
        <v>486</v>
      </c>
      <c r="I409" s="374" t="s">
        <v>383</v>
      </c>
      <c r="J409" s="350" t="s">
        <v>250</v>
      </c>
      <c r="K409" s="351"/>
      <c r="L409" s="353" t="s">
        <v>383</v>
      </c>
      <c r="M409" s="350" t="s">
        <v>267</v>
      </c>
      <c r="N409" s="355"/>
      <c r="O409" s="355"/>
      <c r="P409" s="355"/>
      <c r="Q409" s="355"/>
      <c r="R409" s="355"/>
      <c r="S409" s="355"/>
      <c r="T409" s="355"/>
      <c r="U409" s="355"/>
      <c r="V409" s="355"/>
      <c r="W409" s="355"/>
      <c r="X409" s="356"/>
      <c r="Y409" s="154"/>
      <c r="Z409" s="147"/>
      <c r="AA409" s="147"/>
      <c r="AB409" s="148"/>
      <c r="AC409" s="678"/>
      <c r="AD409" s="679"/>
      <c r="AE409" s="679"/>
      <c r="AF409" s="680"/>
      <c r="AI409" s="109" t="str">
        <f>"2B:jyakuninti_uke_code:" &amp; IF(I409="■",1,IF(L409="■",2,0))</f>
        <v>2B:jyakuninti_uke_code:0</v>
      </c>
    </row>
    <row r="410" spans="1:36" ht="18.75" customHeight="1" x14ac:dyDescent="0.2">
      <c r="A410" s="141"/>
      <c r="B410" s="123"/>
      <c r="C410" s="140"/>
      <c r="D410" s="141"/>
      <c r="E410" s="143"/>
      <c r="F410" s="141"/>
      <c r="G410" s="128"/>
      <c r="H410" s="364" t="s">
        <v>95</v>
      </c>
      <c r="I410" s="374" t="s">
        <v>383</v>
      </c>
      <c r="J410" s="350" t="s">
        <v>265</v>
      </c>
      <c r="K410" s="351"/>
      <c r="L410" s="352"/>
      <c r="M410" s="353" t="s">
        <v>383</v>
      </c>
      <c r="N410" s="350" t="s">
        <v>266</v>
      </c>
      <c r="O410" s="355"/>
      <c r="P410" s="355"/>
      <c r="Q410" s="355"/>
      <c r="R410" s="355"/>
      <c r="S410" s="355"/>
      <c r="T410" s="355"/>
      <c r="U410" s="355"/>
      <c r="V410" s="355"/>
      <c r="W410" s="355"/>
      <c r="X410" s="356"/>
      <c r="Y410" s="154"/>
      <c r="Z410" s="147"/>
      <c r="AA410" s="147"/>
      <c r="AB410" s="148"/>
      <c r="AC410" s="678"/>
      <c r="AD410" s="679"/>
      <c r="AE410" s="679"/>
      <c r="AF410" s="680"/>
      <c r="AI410" s="109" t="str">
        <f>"2B:sougei_code:" &amp; IF(I410="■",1,IF(M410="■",2,0))</f>
        <v>2B:sougei_code:0</v>
      </c>
    </row>
    <row r="411" spans="1:36" ht="19.5" customHeight="1" x14ac:dyDescent="0.2">
      <c r="A411" s="139"/>
      <c r="B411" s="123"/>
      <c r="C411" s="140"/>
      <c r="D411" s="141"/>
      <c r="E411" s="143"/>
      <c r="F411" s="141"/>
      <c r="G411" s="128"/>
      <c r="H411" s="348" t="s">
        <v>433</v>
      </c>
      <c r="I411" s="374" t="s">
        <v>383</v>
      </c>
      <c r="J411" s="350" t="s">
        <v>250</v>
      </c>
      <c r="K411" s="350"/>
      <c r="L411" s="353" t="s">
        <v>383</v>
      </c>
      <c r="M411" s="350" t="s">
        <v>267</v>
      </c>
      <c r="N411" s="350"/>
      <c r="O411" s="355"/>
      <c r="P411" s="350"/>
      <c r="Q411" s="355"/>
      <c r="R411" s="355"/>
      <c r="S411" s="355"/>
      <c r="T411" s="355"/>
      <c r="U411" s="355"/>
      <c r="V411" s="355"/>
      <c r="W411" s="355"/>
      <c r="X411" s="356"/>
      <c r="Y411" s="147"/>
      <c r="Z411" s="147"/>
      <c r="AA411" s="147"/>
      <c r="AB411" s="148"/>
      <c r="AC411" s="678"/>
      <c r="AD411" s="679"/>
      <c r="AE411" s="679"/>
      <c r="AF411" s="680"/>
      <c r="AI411" s="109" t="str">
        <f>"2B:field224:" &amp; IF(I411="■",1,IF(L411="■",2,0))</f>
        <v>2B:field224:0</v>
      </c>
    </row>
    <row r="412" spans="1:36" ht="18.75" customHeight="1" x14ac:dyDescent="0.2">
      <c r="A412" s="139"/>
      <c r="B412" s="123"/>
      <c r="C412" s="140"/>
      <c r="D412" s="141"/>
      <c r="E412" s="143"/>
      <c r="F412" s="141"/>
      <c r="G412" s="128"/>
      <c r="H412" s="364" t="s">
        <v>112</v>
      </c>
      <c r="I412" s="374" t="s">
        <v>383</v>
      </c>
      <c r="J412" s="350" t="s">
        <v>250</v>
      </c>
      <c r="K412" s="351"/>
      <c r="L412" s="353" t="s">
        <v>383</v>
      </c>
      <c r="M412" s="350" t="s">
        <v>267</v>
      </c>
      <c r="N412" s="355"/>
      <c r="O412" s="355"/>
      <c r="P412" s="355"/>
      <c r="Q412" s="355"/>
      <c r="R412" s="355"/>
      <c r="S412" s="355"/>
      <c r="T412" s="355"/>
      <c r="U412" s="355"/>
      <c r="V412" s="355"/>
      <c r="W412" s="355"/>
      <c r="X412" s="356"/>
      <c r="Y412" s="154"/>
      <c r="Z412" s="147"/>
      <c r="AA412" s="147"/>
      <c r="AB412" s="148"/>
      <c r="AC412" s="678"/>
      <c r="AD412" s="679"/>
      <c r="AE412" s="679"/>
      <c r="AF412" s="680"/>
      <c r="AI412" s="109" t="str">
        <f>"2B:ryouyoushoku_code:" &amp; IF(I412="■",1,IF(L412="■",2,0))</f>
        <v>2B:ryouyoushoku_code:0</v>
      </c>
    </row>
    <row r="413" spans="1:36" ht="18.75" customHeight="1" x14ac:dyDescent="0.2">
      <c r="A413" s="139"/>
      <c r="B413" s="123"/>
      <c r="C413" s="140"/>
      <c r="D413" s="141"/>
      <c r="E413" s="143"/>
      <c r="F413" s="141"/>
      <c r="G413" s="128"/>
      <c r="H413" s="364" t="s">
        <v>116</v>
      </c>
      <c r="I413" s="374" t="s">
        <v>383</v>
      </c>
      <c r="J413" s="350" t="s">
        <v>250</v>
      </c>
      <c r="K413" s="350"/>
      <c r="L413" s="353" t="s">
        <v>383</v>
      </c>
      <c r="M413" s="350" t="s">
        <v>251</v>
      </c>
      <c r="N413" s="350"/>
      <c r="O413" s="353" t="s">
        <v>383</v>
      </c>
      <c r="P413" s="350" t="s">
        <v>252</v>
      </c>
      <c r="Q413" s="355"/>
      <c r="R413" s="355"/>
      <c r="S413" s="355"/>
      <c r="T413" s="355"/>
      <c r="U413" s="355"/>
      <c r="V413" s="355"/>
      <c r="W413" s="355"/>
      <c r="X413" s="356"/>
      <c r="Y413" s="154"/>
      <c r="Z413" s="147"/>
      <c r="AA413" s="147"/>
      <c r="AB413" s="148"/>
      <c r="AC413" s="678"/>
      <c r="AD413" s="679"/>
      <c r="AE413" s="679"/>
      <c r="AF413" s="680"/>
      <c r="AI413" s="109" t="str">
        <f>"2B:ninti_senmoncare_code:" &amp; IF(I413="■",1,IF(O413="■",3,IF(L413="■",2,0)))</f>
        <v>2B:ninti_senmoncare_code:0</v>
      </c>
    </row>
    <row r="414" spans="1:36" ht="18.75" customHeight="1" x14ac:dyDescent="0.2">
      <c r="A414" s="141"/>
      <c r="B414" s="123"/>
      <c r="C414" s="140"/>
      <c r="D414" s="141"/>
      <c r="E414" s="143"/>
      <c r="F414" s="141"/>
      <c r="G414" s="128"/>
      <c r="H414" s="435" t="s">
        <v>442</v>
      </c>
      <c r="I414" s="374" t="s">
        <v>383</v>
      </c>
      <c r="J414" s="350" t="s">
        <v>250</v>
      </c>
      <c r="K414" s="350"/>
      <c r="L414" s="353" t="s">
        <v>383</v>
      </c>
      <c r="M414" s="350" t="s">
        <v>251</v>
      </c>
      <c r="N414" s="350"/>
      <c r="O414" s="353" t="s">
        <v>383</v>
      </c>
      <c r="P414" s="350" t="s">
        <v>252</v>
      </c>
      <c r="Q414" s="355"/>
      <c r="R414" s="355"/>
      <c r="S414" s="355"/>
      <c r="T414" s="355"/>
      <c r="U414" s="410"/>
      <c r="V414" s="410"/>
      <c r="W414" s="410"/>
      <c r="X414" s="411"/>
      <c r="Y414" s="154"/>
      <c r="Z414" s="147"/>
      <c r="AA414" s="147"/>
      <c r="AB414" s="148"/>
      <c r="AC414" s="678"/>
      <c r="AD414" s="679"/>
      <c r="AE414" s="679"/>
      <c r="AF414" s="680"/>
      <c r="AI414" s="109" t="str">
        <f>"2B:field225:" &amp; IF(I414="■",1,IF(L414="■",2,IF(O414="■",3,0)))</f>
        <v>2B:field225:0</v>
      </c>
    </row>
    <row r="415" spans="1:36" ht="18.75" customHeight="1" x14ac:dyDescent="0.2">
      <c r="A415" s="139"/>
      <c r="B415" s="123"/>
      <c r="C415" s="140"/>
      <c r="D415" s="141"/>
      <c r="E415" s="143"/>
      <c r="F415" s="141"/>
      <c r="G415" s="128"/>
      <c r="H415" s="364" t="s">
        <v>118</v>
      </c>
      <c r="I415" s="374" t="s">
        <v>383</v>
      </c>
      <c r="J415" s="350" t="s">
        <v>250</v>
      </c>
      <c r="K415" s="350"/>
      <c r="L415" s="353" t="s">
        <v>383</v>
      </c>
      <c r="M415" s="350" t="s">
        <v>258</v>
      </c>
      <c r="N415" s="350"/>
      <c r="O415" s="353" t="s">
        <v>383</v>
      </c>
      <c r="P415" s="350" t="s">
        <v>259</v>
      </c>
      <c r="Q415" s="420"/>
      <c r="R415" s="353" t="s">
        <v>383</v>
      </c>
      <c r="S415" s="350" t="s">
        <v>283</v>
      </c>
      <c r="T415" s="420"/>
      <c r="U415" s="420"/>
      <c r="V415" s="420"/>
      <c r="W415" s="420"/>
      <c r="X415" s="440"/>
      <c r="Y415" s="154"/>
      <c r="Z415" s="147"/>
      <c r="AA415" s="147"/>
      <c r="AB415" s="148"/>
      <c r="AC415" s="678"/>
      <c r="AD415" s="679"/>
      <c r="AE415" s="679"/>
      <c r="AF415" s="680"/>
      <c r="AI415" s="109" t="str">
        <f>"2B:serteikyo_kyoka_code:" &amp; IF(I415="■",1,IF(L415="■",6,IF(O415="■",5,IF(R415="■",7,0))))</f>
        <v>2B:serteikyo_kyoka_code:0</v>
      </c>
    </row>
    <row r="416" spans="1:36" ht="18.75" customHeight="1" x14ac:dyDescent="0.2">
      <c r="A416" s="139"/>
      <c r="B416" s="123"/>
      <c r="C416" s="140"/>
      <c r="D416" s="141"/>
      <c r="E416" s="143"/>
      <c r="F416" s="141"/>
      <c r="G416" s="128"/>
      <c r="H416" s="713" t="s">
        <v>805</v>
      </c>
      <c r="I416" s="747" t="s">
        <v>383</v>
      </c>
      <c r="J416" s="746" t="s">
        <v>250</v>
      </c>
      <c r="K416" s="746"/>
      <c r="L416" s="747" t="s">
        <v>383</v>
      </c>
      <c r="M416" s="746" t="s">
        <v>267</v>
      </c>
      <c r="N416" s="746"/>
      <c r="O416" s="378"/>
      <c r="P416" s="378"/>
      <c r="Q416" s="378"/>
      <c r="R416" s="378"/>
      <c r="S416" s="378"/>
      <c r="T416" s="378"/>
      <c r="U416" s="378"/>
      <c r="V416" s="378"/>
      <c r="W416" s="378"/>
      <c r="X416" s="379"/>
      <c r="Y416" s="154"/>
      <c r="Z416" s="147"/>
      <c r="AA416" s="147"/>
      <c r="AB416" s="148"/>
      <c r="AC416" s="678"/>
      <c r="AD416" s="679"/>
      <c r="AE416" s="679"/>
      <c r="AF416" s="680"/>
      <c r="AI416" s="109" t="str">
        <f>"2B:field221:" &amp; IF(I416="■",1,IF(L416="■",2,0))</f>
        <v>2B:field221:0</v>
      </c>
    </row>
    <row r="417" spans="1:36" ht="18.75" customHeight="1" x14ac:dyDescent="0.2">
      <c r="A417" s="139"/>
      <c r="B417" s="123"/>
      <c r="C417" s="140"/>
      <c r="D417" s="141"/>
      <c r="E417" s="143"/>
      <c r="F417" s="141"/>
      <c r="G417" s="128"/>
      <c r="H417" s="737"/>
      <c r="I417" s="747"/>
      <c r="J417" s="746"/>
      <c r="K417" s="746"/>
      <c r="L417" s="747"/>
      <c r="M417" s="746"/>
      <c r="N417" s="746"/>
      <c r="O417" s="384"/>
      <c r="P417" s="384"/>
      <c r="Q417" s="384"/>
      <c r="R417" s="384"/>
      <c r="S417" s="384"/>
      <c r="T417" s="384"/>
      <c r="U417" s="384"/>
      <c r="V417" s="384"/>
      <c r="W417" s="384"/>
      <c r="X417" s="385"/>
      <c r="Y417" s="154"/>
      <c r="Z417" s="147"/>
      <c r="AA417" s="147"/>
      <c r="AB417" s="148"/>
      <c r="AC417" s="678"/>
      <c r="AD417" s="679"/>
      <c r="AE417" s="679"/>
      <c r="AF417" s="680"/>
    </row>
    <row r="418" spans="1:36" s="621" customFormat="1" ht="19.8" customHeight="1" x14ac:dyDescent="0.2">
      <c r="A418" s="139"/>
      <c r="B418" s="670"/>
      <c r="C418" s="140"/>
      <c r="D418" s="141"/>
      <c r="E418" s="128"/>
      <c r="F418" s="142"/>
      <c r="G418" s="143"/>
      <c r="H418" s="713" t="s">
        <v>790</v>
      </c>
      <c r="I418" s="642" t="s">
        <v>383</v>
      </c>
      <c r="J418" s="616" t="s">
        <v>627</v>
      </c>
      <c r="K418" s="616"/>
      <c r="L418" s="615"/>
      <c r="M418" s="644" t="s">
        <v>383</v>
      </c>
      <c r="N418" s="616" t="s">
        <v>791</v>
      </c>
      <c r="O418" s="617"/>
      <c r="P418" s="615"/>
      <c r="Q418" s="644" t="s">
        <v>383</v>
      </c>
      <c r="R418" s="618" t="s">
        <v>792</v>
      </c>
      <c r="S418" s="615"/>
      <c r="T418" s="615"/>
      <c r="U418" s="615"/>
      <c r="V418" s="618"/>
      <c r="W418" s="619"/>
      <c r="X418" s="620"/>
      <c r="Y418" s="154"/>
      <c r="Z418" s="147"/>
      <c r="AA418" s="147"/>
      <c r="AB418" s="148"/>
      <c r="AC418" s="678"/>
      <c r="AD418" s="679"/>
      <c r="AE418" s="679"/>
      <c r="AF418" s="680"/>
    </row>
    <row r="419" spans="1:36" s="621" customFormat="1" ht="21" customHeight="1" x14ac:dyDescent="0.2">
      <c r="A419" s="139"/>
      <c r="B419" s="670"/>
      <c r="C419" s="140"/>
      <c r="D419" s="141"/>
      <c r="E419" s="128"/>
      <c r="F419" s="142"/>
      <c r="G419" s="143"/>
      <c r="H419" s="714"/>
      <c r="I419" s="645" t="s">
        <v>383</v>
      </c>
      <c r="J419" s="623" t="s">
        <v>793</v>
      </c>
      <c r="K419" s="623"/>
      <c r="L419" s="622"/>
      <c r="M419" s="645" t="s">
        <v>383</v>
      </c>
      <c r="N419" s="623" t="s">
        <v>794</v>
      </c>
      <c r="O419" s="624"/>
      <c r="P419" s="622"/>
      <c r="Q419" s="645" t="s">
        <v>383</v>
      </c>
      <c r="R419" s="623" t="s">
        <v>795</v>
      </c>
      <c r="S419" s="622"/>
      <c r="T419" s="623"/>
      <c r="U419" s="645" t="s">
        <v>383</v>
      </c>
      <c r="V419" s="623" t="s">
        <v>796</v>
      </c>
      <c r="W419" s="625"/>
      <c r="X419" s="626"/>
      <c r="Y419" s="154"/>
      <c r="Z419" s="147"/>
      <c r="AA419" s="147"/>
      <c r="AB419" s="148"/>
      <c r="AC419" s="678"/>
      <c r="AD419" s="679"/>
      <c r="AE419" s="679"/>
      <c r="AF419" s="680"/>
    </row>
    <row r="420" spans="1:36" ht="18.75" customHeight="1" x14ac:dyDescent="0.2">
      <c r="A420" s="129"/>
      <c r="B420" s="116"/>
      <c r="C420" s="130"/>
      <c r="D420" s="131"/>
      <c r="E420" s="121"/>
      <c r="F420" s="132"/>
      <c r="G420" s="121"/>
      <c r="H420" s="740" t="s">
        <v>97</v>
      </c>
      <c r="I420" s="412" t="s">
        <v>383</v>
      </c>
      <c r="J420" s="413" t="s">
        <v>300</v>
      </c>
      <c r="K420" s="414"/>
      <c r="L420" s="415"/>
      <c r="M420" s="416" t="s">
        <v>383</v>
      </c>
      <c r="N420" s="413" t="s">
        <v>328</v>
      </c>
      <c r="O420" s="417"/>
      <c r="P420" s="417"/>
      <c r="Q420" s="416" t="s">
        <v>383</v>
      </c>
      <c r="R420" s="413" t="s">
        <v>329</v>
      </c>
      <c r="S420" s="417"/>
      <c r="T420" s="417"/>
      <c r="U420" s="416" t="s">
        <v>383</v>
      </c>
      <c r="V420" s="413" t="s">
        <v>330</v>
      </c>
      <c r="W420" s="417"/>
      <c r="X420" s="418"/>
      <c r="Y420" s="134" t="s">
        <v>383</v>
      </c>
      <c r="Z420" s="119" t="s">
        <v>249</v>
      </c>
      <c r="AA420" s="119"/>
      <c r="AB420" s="137"/>
      <c r="AC420" s="675"/>
      <c r="AD420" s="676"/>
      <c r="AE420" s="676"/>
      <c r="AF420" s="677"/>
      <c r="AG420" s="109" t="str">
        <f>"ser_code = '" &amp; IF(A431="■","2B","") &amp; "'"</f>
        <v>ser_code = ''</v>
      </c>
      <c r="AH420" s="109" t="str">
        <f>"2B:jininkbn_code:"&amp;IF(F431="■",1,IF(F432="■",2,0))</f>
        <v>2B:jininkbn_code:0</v>
      </c>
      <c r="AI420" s="109" t="str">
        <f>"2B:yakan_kinmu_code:" &amp; IF(I420="■",1,IF(M420="■",2,IF(Q420="■",3,IF(U420="■",7,IF(I421="■",5,IF(M421="■",6,0))))))</f>
        <v>2B:yakan_kinmu_code:0</v>
      </c>
      <c r="AJ420" s="109" t="str">
        <f>"2B:field203:" &amp; IF(Y420="■",1,IF(Y421="■",2,0))</f>
        <v>2B:field203:0</v>
      </c>
    </row>
    <row r="421" spans="1:36" ht="18.75" customHeight="1" x14ac:dyDescent="0.2">
      <c r="A421" s="139"/>
      <c r="B421" s="123"/>
      <c r="C421" s="140"/>
      <c r="D421" s="141"/>
      <c r="E421" s="128"/>
      <c r="F421" s="142"/>
      <c r="G421" s="128"/>
      <c r="H421" s="739"/>
      <c r="I421" s="460" t="s">
        <v>383</v>
      </c>
      <c r="J421" s="381" t="s">
        <v>331</v>
      </c>
      <c r="K421" s="419"/>
      <c r="L421" s="382"/>
      <c r="M421" s="383" t="s">
        <v>383</v>
      </c>
      <c r="N421" s="381" t="s">
        <v>301</v>
      </c>
      <c r="O421" s="384"/>
      <c r="P421" s="384"/>
      <c r="Q421" s="384"/>
      <c r="R421" s="384"/>
      <c r="S421" s="384"/>
      <c r="T421" s="384"/>
      <c r="U421" s="384"/>
      <c r="V421" s="384"/>
      <c r="W421" s="384"/>
      <c r="X421" s="385"/>
      <c r="Y421" s="118" t="s">
        <v>383</v>
      </c>
      <c r="Z421" s="126" t="s">
        <v>255</v>
      </c>
      <c r="AA421" s="147"/>
      <c r="AB421" s="148"/>
      <c r="AC421" s="678"/>
      <c r="AD421" s="679"/>
      <c r="AE421" s="679"/>
      <c r="AF421" s="680"/>
      <c r="AG421" s="109" t="str">
        <f>"2B:sisetukbn_code:"&amp;IF(D431="■","4",0)</f>
        <v>2B:sisetukbn_code:0</v>
      </c>
      <c r="AH421" s="109"/>
      <c r="AI421" s="109"/>
      <c r="AJ421" s="109"/>
    </row>
    <row r="422" spans="1:36" ht="18.75" customHeight="1" x14ac:dyDescent="0.2">
      <c r="A422" s="139"/>
      <c r="B422" s="123"/>
      <c r="C422" s="140"/>
      <c r="D422" s="141"/>
      <c r="E422" s="128"/>
      <c r="F422" s="142"/>
      <c r="G422" s="128"/>
      <c r="H422" s="738" t="s">
        <v>93</v>
      </c>
      <c r="I422" s="374" t="s">
        <v>383</v>
      </c>
      <c r="J422" s="375" t="s">
        <v>250</v>
      </c>
      <c r="K422" s="375"/>
      <c r="L422" s="376"/>
      <c r="M422" s="377" t="s">
        <v>383</v>
      </c>
      <c r="N422" s="375" t="s">
        <v>289</v>
      </c>
      <c r="O422" s="375"/>
      <c r="P422" s="376"/>
      <c r="Q422" s="377" t="s">
        <v>383</v>
      </c>
      <c r="R422" s="378" t="s">
        <v>372</v>
      </c>
      <c r="S422" s="378"/>
      <c r="T422" s="378"/>
      <c r="U422" s="410"/>
      <c r="V422" s="376"/>
      <c r="W422" s="378"/>
      <c r="X422" s="411"/>
      <c r="Y422" s="154"/>
      <c r="Z422" s="147"/>
      <c r="AA422" s="147"/>
      <c r="AB422" s="148"/>
      <c r="AC422" s="678"/>
      <c r="AD422" s="679"/>
      <c r="AE422" s="679"/>
      <c r="AF422" s="680"/>
      <c r="AI422" s="109" t="str">
        <f>"2B:"&amp;IF(AND(I422="□",M422="□",Q422="□",I423="□",M423="□"),"ketu_doctor_code:0",IF(I422="■","ketu_doctor_code:1:field197:1:ketu_kangos_code:1:ketu_kshoku_code:1",IF(M422="■","ketu_doctor_code:2","ketu_doctor_code:1")
&amp;IF(Q422="■",":field197:2",":field197:1")
&amp;IF(I423="■",":ketu_kangos_code:2",":ketu_kangos_code:1")
&amp;IF(M423="■",":ketu_kshoku_code:2",":ketu_kshoku_code:1")))</f>
        <v>2B:ketu_doctor_code:0</v>
      </c>
    </row>
    <row r="423" spans="1:36" ht="18.75" customHeight="1" x14ac:dyDescent="0.2">
      <c r="A423" s="139"/>
      <c r="B423" s="123"/>
      <c r="C423" s="140"/>
      <c r="D423" s="141"/>
      <c r="E423" s="128"/>
      <c r="F423" s="142"/>
      <c r="G423" s="128"/>
      <c r="H423" s="739"/>
      <c r="I423" s="460" t="s">
        <v>383</v>
      </c>
      <c r="J423" s="384" t="s">
        <v>373</v>
      </c>
      <c r="K423" s="384"/>
      <c r="L423" s="384"/>
      <c r="M423" s="383" t="s">
        <v>383</v>
      </c>
      <c r="N423" s="384" t="s">
        <v>374</v>
      </c>
      <c r="O423" s="382"/>
      <c r="P423" s="384"/>
      <c r="Q423" s="384"/>
      <c r="R423" s="382"/>
      <c r="S423" s="384"/>
      <c r="T423" s="384"/>
      <c r="U423" s="436"/>
      <c r="V423" s="382"/>
      <c r="W423" s="384"/>
      <c r="X423" s="437"/>
      <c r="Y423" s="154"/>
      <c r="Z423" s="147"/>
      <c r="AA423" s="147"/>
      <c r="AB423" s="148"/>
      <c r="AC423" s="678"/>
      <c r="AD423" s="679"/>
      <c r="AE423" s="679"/>
      <c r="AF423" s="680"/>
      <c r="AI423" s="109"/>
    </row>
    <row r="424" spans="1:36" ht="18.75" customHeight="1" x14ac:dyDescent="0.2">
      <c r="A424" s="139"/>
      <c r="B424" s="123"/>
      <c r="C424" s="140"/>
      <c r="D424" s="141"/>
      <c r="E424" s="128"/>
      <c r="F424" s="142"/>
      <c r="G424" s="128"/>
      <c r="H424" s="364" t="s">
        <v>98</v>
      </c>
      <c r="I424" s="374" t="s">
        <v>383</v>
      </c>
      <c r="J424" s="350" t="s">
        <v>265</v>
      </c>
      <c r="K424" s="351"/>
      <c r="L424" s="352"/>
      <c r="M424" s="353" t="s">
        <v>383</v>
      </c>
      <c r="N424" s="350" t="s">
        <v>266</v>
      </c>
      <c r="O424" s="355"/>
      <c r="P424" s="355"/>
      <c r="Q424" s="355"/>
      <c r="R424" s="355"/>
      <c r="S424" s="355"/>
      <c r="T424" s="355"/>
      <c r="U424" s="355"/>
      <c r="V424" s="355"/>
      <c r="W424" s="355"/>
      <c r="X424" s="356"/>
      <c r="Y424" s="154"/>
      <c r="Z424" s="147"/>
      <c r="AA424" s="147"/>
      <c r="AB424" s="148"/>
      <c r="AC424" s="678"/>
      <c r="AD424" s="679"/>
      <c r="AE424" s="679"/>
      <c r="AF424" s="680"/>
      <c r="AI424" s="109" t="str">
        <f>"2B:unitcare_code:" &amp; IF(I424="■",1,IF(M424="■",2,0))</f>
        <v>2B:unitcare_code:0</v>
      </c>
    </row>
    <row r="425" spans="1:36" s="109" customFormat="1" ht="18.75" customHeight="1" x14ac:dyDescent="0.2">
      <c r="A425" s="139"/>
      <c r="B425" s="123"/>
      <c r="C425" s="248"/>
      <c r="D425" s="249"/>
      <c r="E425" s="128"/>
      <c r="F425" s="142"/>
      <c r="G425" s="143"/>
      <c r="H425" s="364" t="s">
        <v>107</v>
      </c>
      <c r="I425" s="349" t="s">
        <v>383</v>
      </c>
      <c r="J425" s="350" t="s">
        <v>395</v>
      </c>
      <c r="K425" s="351"/>
      <c r="L425" s="352"/>
      <c r="M425" s="353" t="s">
        <v>383</v>
      </c>
      <c r="N425" s="350" t="s">
        <v>396</v>
      </c>
      <c r="O425" s="351"/>
      <c r="P425" s="351"/>
      <c r="Q425" s="351"/>
      <c r="R425" s="351"/>
      <c r="S425" s="351"/>
      <c r="T425" s="351"/>
      <c r="U425" s="351"/>
      <c r="V425" s="351"/>
      <c r="W425" s="351"/>
      <c r="X425" s="365"/>
      <c r="Y425" s="154"/>
      <c r="Z425" s="147"/>
      <c r="AA425" s="147"/>
      <c r="AB425" s="148"/>
      <c r="AC425" s="678"/>
      <c r="AD425" s="679"/>
      <c r="AE425" s="679"/>
      <c r="AF425" s="680"/>
      <c r="AI425" s="109" t="str">
        <f>"2B:sintaikousoku_code:" &amp; IF(I425="■",1,IF(M425="■",2,0))</f>
        <v>2B:sintaikousoku_code:0</v>
      </c>
    </row>
    <row r="426" spans="1:36" ht="19.5" customHeight="1" x14ac:dyDescent="0.2">
      <c r="A426" s="139"/>
      <c r="B426" s="123"/>
      <c r="C426" s="140"/>
      <c r="D426" s="141"/>
      <c r="E426" s="128"/>
      <c r="F426" s="142"/>
      <c r="G426" s="143"/>
      <c r="H426" s="348" t="s">
        <v>430</v>
      </c>
      <c r="I426" s="374" t="s">
        <v>383</v>
      </c>
      <c r="J426" s="350" t="s">
        <v>395</v>
      </c>
      <c r="K426" s="351"/>
      <c r="L426" s="352"/>
      <c r="M426" s="353" t="s">
        <v>383</v>
      </c>
      <c r="N426" s="350" t="s">
        <v>431</v>
      </c>
      <c r="O426" s="355"/>
      <c r="P426" s="350"/>
      <c r="Q426" s="355"/>
      <c r="R426" s="355"/>
      <c r="S426" s="355"/>
      <c r="T426" s="355"/>
      <c r="U426" s="355"/>
      <c r="V426" s="355"/>
      <c r="W426" s="355"/>
      <c r="X426" s="356"/>
      <c r="Y426" s="147"/>
      <c r="Z426" s="147"/>
      <c r="AA426" s="147"/>
      <c r="AB426" s="148"/>
      <c r="AC426" s="678"/>
      <c r="AD426" s="679"/>
      <c r="AE426" s="679"/>
      <c r="AF426" s="680"/>
      <c r="AI426" s="109" t="str">
        <f>"2B:field223:" &amp; IF(I426="■",1,IF(M426="■",2,0))</f>
        <v>2B:field223:0</v>
      </c>
    </row>
    <row r="427" spans="1:36" ht="19.5" customHeight="1" x14ac:dyDescent="0.2">
      <c r="A427" s="139"/>
      <c r="B427" s="123"/>
      <c r="C427" s="140"/>
      <c r="D427" s="141"/>
      <c r="E427" s="128"/>
      <c r="F427" s="142"/>
      <c r="G427" s="143"/>
      <c r="H427" s="348" t="s">
        <v>448</v>
      </c>
      <c r="I427" s="374" t="s">
        <v>383</v>
      </c>
      <c r="J427" s="350" t="s">
        <v>395</v>
      </c>
      <c r="K427" s="351"/>
      <c r="L427" s="352"/>
      <c r="M427" s="353" t="s">
        <v>383</v>
      </c>
      <c r="N427" s="350" t="s">
        <v>431</v>
      </c>
      <c r="O427" s="355"/>
      <c r="P427" s="350"/>
      <c r="Q427" s="355"/>
      <c r="R427" s="355"/>
      <c r="S427" s="355"/>
      <c r="T427" s="355"/>
      <c r="U427" s="355"/>
      <c r="V427" s="355"/>
      <c r="W427" s="355"/>
      <c r="X427" s="356"/>
      <c r="Y427" s="147"/>
      <c r="Z427" s="147"/>
      <c r="AA427" s="147"/>
      <c r="AB427" s="148"/>
      <c r="AC427" s="678"/>
      <c r="AD427" s="679"/>
      <c r="AE427" s="679"/>
      <c r="AF427" s="680"/>
      <c r="AI427" s="109" t="str">
        <f>"2B:field232:" &amp; IF(I427="■",1,IF(M427="■",2,0))</f>
        <v>2B:field232:0</v>
      </c>
    </row>
    <row r="428" spans="1:36" ht="18.75" customHeight="1" x14ac:dyDescent="0.2">
      <c r="A428" s="139"/>
      <c r="B428" s="123"/>
      <c r="C428" s="140"/>
      <c r="D428" s="141"/>
      <c r="E428" s="128"/>
      <c r="F428" s="142"/>
      <c r="G428" s="128"/>
      <c r="H428" s="364" t="s">
        <v>164</v>
      </c>
      <c r="I428" s="374" t="s">
        <v>383</v>
      </c>
      <c r="J428" s="350" t="s">
        <v>300</v>
      </c>
      <c r="K428" s="351"/>
      <c r="L428" s="352"/>
      <c r="M428" s="353" t="s">
        <v>383</v>
      </c>
      <c r="N428" s="350" t="s">
        <v>332</v>
      </c>
      <c r="O428" s="355"/>
      <c r="P428" s="355"/>
      <c r="Q428" s="355"/>
      <c r="R428" s="355"/>
      <c r="S428" s="355"/>
      <c r="T428" s="355"/>
      <c r="U428" s="355"/>
      <c r="V428" s="355"/>
      <c r="W428" s="355"/>
      <c r="X428" s="356"/>
      <c r="Y428" s="154"/>
      <c r="Z428" s="147"/>
      <c r="AA428" s="147"/>
      <c r="AB428" s="148"/>
      <c r="AC428" s="678"/>
      <c r="AD428" s="679"/>
      <c r="AE428" s="679"/>
      <c r="AF428" s="680"/>
      <c r="AI428" s="109" t="str">
        <f>"2B:field190:" &amp; IF(I428="■",1,IF(M428="■",2,0))</f>
        <v>2B:field190:0</v>
      </c>
    </row>
    <row r="429" spans="1:36" ht="18.75" customHeight="1" x14ac:dyDescent="0.2">
      <c r="A429" s="139"/>
      <c r="B429" s="123"/>
      <c r="C429" s="140"/>
      <c r="D429" s="141"/>
      <c r="E429" s="128"/>
      <c r="F429" s="142"/>
      <c r="G429" s="128"/>
      <c r="H429" s="364" t="s">
        <v>165</v>
      </c>
      <c r="I429" s="374" t="s">
        <v>383</v>
      </c>
      <c r="J429" s="350" t="s">
        <v>300</v>
      </c>
      <c r="K429" s="351"/>
      <c r="L429" s="352"/>
      <c r="M429" s="353" t="s">
        <v>383</v>
      </c>
      <c r="N429" s="350" t="s">
        <v>332</v>
      </c>
      <c r="O429" s="355"/>
      <c r="P429" s="355"/>
      <c r="Q429" s="355"/>
      <c r="R429" s="355"/>
      <c r="S429" s="355"/>
      <c r="T429" s="355"/>
      <c r="U429" s="355"/>
      <c r="V429" s="355"/>
      <c r="W429" s="355"/>
      <c r="X429" s="356"/>
      <c r="Y429" s="154"/>
      <c r="Z429" s="147"/>
      <c r="AA429" s="147"/>
      <c r="AB429" s="148"/>
      <c r="AC429" s="678"/>
      <c r="AD429" s="679"/>
      <c r="AE429" s="679"/>
      <c r="AF429" s="680"/>
      <c r="AI429" s="109" t="str">
        <f>"2B:field191:" &amp; IF(I429="■",1,IF(M429="■",2,0))</f>
        <v>2B:field191:0</v>
      </c>
    </row>
    <row r="430" spans="1:36" ht="18.75" customHeight="1" x14ac:dyDescent="0.2">
      <c r="A430" s="139"/>
      <c r="B430" s="123"/>
      <c r="C430" s="140"/>
      <c r="D430" s="141"/>
      <c r="E430" s="128"/>
      <c r="F430" s="142"/>
      <c r="G430" s="128"/>
      <c r="H430" s="364" t="s">
        <v>486</v>
      </c>
      <c r="I430" s="374" t="s">
        <v>383</v>
      </c>
      <c r="J430" s="350" t="s">
        <v>250</v>
      </c>
      <c r="K430" s="351"/>
      <c r="L430" s="353" t="s">
        <v>383</v>
      </c>
      <c r="M430" s="350" t="s">
        <v>267</v>
      </c>
      <c r="N430" s="355"/>
      <c r="O430" s="355"/>
      <c r="P430" s="355"/>
      <c r="Q430" s="355"/>
      <c r="R430" s="355"/>
      <c r="S430" s="355"/>
      <c r="T430" s="355"/>
      <c r="U430" s="355"/>
      <c r="V430" s="355"/>
      <c r="W430" s="355"/>
      <c r="X430" s="356"/>
      <c r="Y430" s="154"/>
      <c r="Z430" s="147"/>
      <c r="AA430" s="147"/>
      <c r="AB430" s="148"/>
      <c r="AC430" s="678"/>
      <c r="AD430" s="679"/>
      <c r="AE430" s="679"/>
      <c r="AF430" s="680"/>
      <c r="AI430" s="109" t="str">
        <f>"2B:jyakuninti_uke_code:" &amp; IF(I430="■",1,IF(L430="■",2,0))</f>
        <v>2B:jyakuninti_uke_code:0</v>
      </c>
    </row>
    <row r="431" spans="1:36" ht="18.75" customHeight="1" x14ac:dyDescent="0.2">
      <c r="A431" s="125" t="s">
        <v>383</v>
      </c>
      <c r="B431" s="123" t="s">
        <v>498</v>
      </c>
      <c r="C431" s="140" t="s">
        <v>489</v>
      </c>
      <c r="D431" s="125" t="s">
        <v>383</v>
      </c>
      <c r="E431" s="128" t="s">
        <v>503</v>
      </c>
      <c r="F431" s="125" t="s">
        <v>383</v>
      </c>
      <c r="G431" s="128" t="s">
        <v>368</v>
      </c>
      <c r="H431" s="364" t="s">
        <v>95</v>
      </c>
      <c r="I431" s="374" t="s">
        <v>383</v>
      </c>
      <c r="J431" s="350" t="s">
        <v>265</v>
      </c>
      <c r="K431" s="351"/>
      <c r="L431" s="352"/>
      <c r="M431" s="353" t="s">
        <v>383</v>
      </c>
      <c r="N431" s="350" t="s">
        <v>266</v>
      </c>
      <c r="O431" s="355"/>
      <c r="P431" s="355"/>
      <c r="Q431" s="355"/>
      <c r="R431" s="355"/>
      <c r="S431" s="355"/>
      <c r="T431" s="355"/>
      <c r="U431" s="355"/>
      <c r="V431" s="355"/>
      <c r="W431" s="355"/>
      <c r="X431" s="356"/>
      <c r="Y431" s="154"/>
      <c r="Z431" s="147"/>
      <c r="AA431" s="147"/>
      <c r="AB431" s="148"/>
      <c r="AC431" s="678"/>
      <c r="AD431" s="679"/>
      <c r="AE431" s="679"/>
      <c r="AF431" s="680"/>
      <c r="AI431" s="109" t="str">
        <f>"2B:sougei_code:" &amp; IF(I431="■",1,IF(M431="■",2,0))</f>
        <v>2B:sougei_code:0</v>
      </c>
    </row>
    <row r="432" spans="1:36" ht="19.5" customHeight="1" x14ac:dyDescent="0.2">
      <c r="A432" s="139"/>
      <c r="B432" s="123"/>
      <c r="C432" s="140"/>
      <c r="D432" s="141"/>
      <c r="E432" s="128"/>
      <c r="F432" s="125" t="s">
        <v>383</v>
      </c>
      <c r="G432" s="128" t="s">
        <v>369</v>
      </c>
      <c r="H432" s="348" t="s">
        <v>433</v>
      </c>
      <c r="I432" s="374" t="s">
        <v>383</v>
      </c>
      <c r="J432" s="350" t="s">
        <v>250</v>
      </c>
      <c r="K432" s="350"/>
      <c r="L432" s="353" t="s">
        <v>383</v>
      </c>
      <c r="M432" s="350" t="s">
        <v>267</v>
      </c>
      <c r="N432" s="350"/>
      <c r="O432" s="355"/>
      <c r="P432" s="350"/>
      <c r="Q432" s="355"/>
      <c r="R432" s="355"/>
      <c r="S432" s="355"/>
      <c r="T432" s="355"/>
      <c r="U432" s="355"/>
      <c r="V432" s="355"/>
      <c r="W432" s="355"/>
      <c r="X432" s="356"/>
      <c r="Y432" s="147"/>
      <c r="Z432" s="147"/>
      <c r="AA432" s="147"/>
      <c r="AB432" s="148"/>
      <c r="AC432" s="678"/>
      <c r="AD432" s="679"/>
      <c r="AE432" s="679"/>
      <c r="AF432" s="680"/>
      <c r="AI432" s="109" t="str">
        <f>"2B:field224:" &amp; IF(I432="■",1,IF(L432="■",2,0))</f>
        <v>2B:field224:0</v>
      </c>
    </row>
    <row r="433" spans="1:36" ht="18.75" customHeight="1" x14ac:dyDescent="0.2">
      <c r="A433" s="139"/>
      <c r="B433" s="123"/>
      <c r="C433" s="140"/>
      <c r="D433" s="141"/>
      <c r="E433" s="128"/>
      <c r="F433" s="142"/>
      <c r="G433" s="128"/>
      <c r="H433" s="364" t="s">
        <v>112</v>
      </c>
      <c r="I433" s="374" t="s">
        <v>383</v>
      </c>
      <c r="J433" s="350" t="s">
        <v>250</v>
      </c>
      <c r="K433" s="351"/>
      <c r="L433" s="353" t="s">
        <v>383</v>
      </c>
      <c r="M433" s="350" t="s">
        <v>267</v>
      </c>
      <c r="N433" s="355"/>
      <c r="O433" s="355"/>
      <c r="P433" s="355"/>
      <c r="Q433" s="355"/>
      <c r="R433" s="355"/>
      <c r="S433" s="355"/>
      <c r="T433" s="355"/>
      <c r="U433" s="355"/>
      <c r="V433" s="355"/>
      <c r="W433" s="355"/>
      <c r="X433" s="356"/>
      <c r="Y433" s="154"/>
      <c r="Z433" s="147"/>
      <c r="AA433" s="147"/>
      <c r="AB433" s="148"/>
      <c r="AC433" s="678"/>
      <c r="AD433" s="679"/>
      <c r="AE433" s="679"/>
      <c r="AF433" s="680"/>
      <c r="AI433" s="109" t="str">
        <f>"2B:ryouyoushoku_code:" &amp; IF(I433="■",1,IF(L433="■",2,0))</f>
        <v>2B:ryouyoushoku_code:0</v>
      </c>
    </row>
    <row r="434" spans="1:36" ht="18.75" customHeight="1" x14ac:dyDescent="0.2">
      <c r="A434" s="139"/>
      <c r="B434" s="123"/>
      <c r="C434" s="140"/>
      <c r="D434" s="141"/>
      <c r="E434" s="128"/>
      <c r="F434" s="142"/>
      <c r="G434" s="128"/>
      <c r="H434" s="364" t="s">
        <v>116</v>
      </c>
      <c r="I434" s="374" t="s">
        <v>383</v>
      </c>
      <c r="J434" s="350" t="s">
        <v>250</v>
      </c>
      <c r="K434" s="350"/>
      <c r="L434" s="353" t="s">
        <v>383</v>
      </c>
      <c r="M434" s="350" t="s">
        <v>251</v>
      </c>
      <c r="N434" s="350"/>
      <c r="O434" s="353" t="s">
        <v>383</v>
      </c>
      <c r="P434" s="350" t="s">
        <v>252</v>
      </c>
      <c r="Q434" s="355"/>
      <c r="R434" s="355"/>
      <c r="S434" s="355"/>
      <c r="T434" s="355"/>
      <c r="U434" s="355"/>
      <c r="V434" s="355"/>
      <c r="W434" s="355"/>
      <c r="X434" s="356"/>
      <c r="Y434" s="154"/>
      <c r="Z434" s="147"/>
      <c r="AA434" s="147"/>
      <c r="AB434" s="148"/>
      <c r="AC434" s="678"/>
      <c r="AD434" s="679"/>
      <c r="AE434" s="679"/>
      <c r="AF434" s="680"/>
      <c r="AI434" s="109" t="str">
        <f>"2B:ninti_senmoncare_code:" &amp; IF(I434="■",1,IF(O434="■",3,IF(L434="■",2,0)))</f>
        <v>2B:ninti_senmoncare_code:0</v>
      </c>
    </row>
    <row r="435" spans="1:36" ht="18.75" customHeight="1" x14ac:dyDescent="0.2">
      <c r="A435" s="139"/>
      <c r="B435" s="123"/>
      <c r="C435" s="140"/>
      <c r="D435" s="141"/>
      <c r="E435" s="128"/>
      <c r="F435" s="142"/>
      <c r="G435" s="128"/>
      <c r="H435" s="738" t="s">
        <v>149</v>
      </c>
      <c r="I435" s="374" t="s">
        <v>383</v>
      </c>
      <c r="J435" s="375" t="s">
        <v>320</v>
      </c>
      <c r="K435" s="375"/>
      <c r="L435" s="410"/>
      <c r="M435" s="410"/>
      <c r="N435" s="410"/>
      <c r="O435" s="410"/>
      <c r="P435" s="377" t="s">
        <v>383</v>
      </c>
      <c r="Q435" s="375" t="s">
        <v>321</v>
      </c>
      <c r="R435" s="410"/>
      <c r="S435" s="410"/>
      <c r="T435" s="410"/>
      <c r="U435" s="410"/>
      <c r="V435" s="410"/>
      <c r="W435" s="410"/>
      <c r="X435" s="411"/>
      <c r="Y435" s="154"/>
      <c r="Z435" s="147"/>
      <c r="AA435" s="147"/>
      <c r="AB435" s="148"/>
      <c r="AC435" s="678"/>
      <c r="AD435" s="679"/>
      <c r="AE435" s="679"/>
      <c r="AF435" s="680"/>
      <c r="AI435" s="109" t="str">
        <f>"2B:" &amp; IF(AND(I435="□",P435="□",I436="□"),"tokusin_jyusho_code:0:tokusin_yakuzai_code:0:shuudan_comu_code:0",IF(I435="■","tokusin_jyusho_code:2","tokusin_jyusho_code:1")
&amp;IF(P435="■",":tokusin_yakuzai_code:2",":tokusin_yakuzai_code:1")
&amp;IF(I436="■",":shuudan_comu_code:2",":shuudan_comu_code:1"))</f>
        <v>2B:tokusin_jyusho_code:0:tokusin_yakuzai_code:0:shuudan_comu_code:0</v>
      </c>
    </row>
    <row r="436" spans="1:36" ht="18.75" customHeight="1" x14ac:dyDescent="0.2">
      <c r="A436" s="139"/>
      <c r="B436" s="123"/>
      <c r="C436" s="140"/>
      <c r="D436" s="141"/>
      <c r="E436" s="128"/>
      <c r="F436" s="142"/>
      <c r="G436" s="128"/>
      <c r="H436" s="739"/>
      <c r="I436" s="460" t="s">
        <v>383</v>
      </c>
      <c r="J436" s="381" t="s">
        <v>334</v>
      </c>
      <c r="K436" s="436"/>
      <c r="L436" s="436"/>
      <c r="M436" s="436"/>
      <c r="N436" s="436"/>
      <c r="O436" s="436"/>
      <c r="P436" s="436"/>
      <c r="Q436" s="384"/>
      <c r="R436" s="436"/>
      <c r="S436" s="436"/>
      <c r="T436" s="436"/>
      <c r="U436" s="436"/>
      <c r="V436" s="436"/>
      <c r="W436" s="436"/>
      <c r="X436" s="437"/>
      <c r="Y436" s="154"/>
      <c r="Z436" s="147"/>
      <c r="AA436" s="147"/>
      <c r="AB436" s="148"/>
      <c r="AC436" s="678"/>
      <c r="AD436" s="679"/>
      <c r="AE436" s="679"/>
      <c r="AF436" s="680"/>
      <c r="AI436" s="109"/>
    </row>
    <row r="437" spans="1:36" ht="18.75" customHeight="1" x14ac:dyDescent="0.2">
      <c r="A437" s="139"/>
      <c r="B437" s="123"/>
      <c r="C437" s="140"/>
      <c r="D437" s="141"/>
      <c r="E437" s="128"/>
      <c r="F437" s="142"/>
      <c r="G437" s="128"/>
      <c r="H437" s="738" t="s">
        <v>103</v>
      </c>
      <c r="I437" s="374" t="s">
        <v>383</v>
      </c>
      <c r="J437" s="375" t="s">
        <v>335</v>
      </c>
      <c r="K437" s="438"/>
      <c r="L437" s="376"/>
      <c r="M437" s="377" t="s">
        <v>383</v>
      </c>
      <c r="N437" s="375" t="s">
        <v>336</v>
      </c>
      <c r="O437" s="410"/>
      <c r="P437" s="410"/>
      <c r="Q437" s="377" t="s">
        <v>383</v>
      </c>
      <c r="R437" s="375" t="s">
        <v>337</v>
      </c>
      <c r="S437" s="410"/>
      <c r="T437" s="410"/>
      <c r="U437" s="410"/>
      <c r="V437" s="410"/>
      <c r="W437" s="410"/>
      <c r="X437" s="411"/>
      <c r="Y437" s="154"/>
      <c r="Z437" s="147"/>
      <c r="AA437" s="147"/>
      <c r="AB437" s="148"/>
      <c r="AC437" s="678"/>
      <c r="AD437" s="679"/>
      <c r="AE437" s="679"/>
      <c r="AF437" s="680"/>
      <c r="AI437" s="109" t="str">
        <f>"2B:"&amp;IF(AND(I437="□",M437="□",Q437="□",I438="□",Q438="□"),"koriha_rryoho1_code:0:koriha_sryoho_code:0:koriha_gengo_code:0:riha_seisin_code:0:koriha_other_code:0",IF(I437="■","koriha_rryoho1_code:2","koriha_rryoho1_code:1")
&amp;IF(M437="■",":koriha_sryoho_code:2",":koriha_sryoho_code:1")
&amp;IF(Q437="■",":koriha_gengo_code:2",":koriha_gengo_code:1")
&amp;IF(I438="■",":riha_seisin_code:2",":riha_seisin_code:1")
&amp;IF(Q438="■",":koriha_other_code:2",":koriha_other_code:1"))</f>
        <v>2B:koriha_rryoho1_code:0:koriha_sryoho_code:0:koriha_gengo_code:0:riha_seisin_code:0:koriha_other_code:0</v>
      </c>
    </row>
    <row r="438" spans="1:36" ht="18.75" customHeight="1" x14ac:dyDescent="0.2">
      <c r="A438" s="139"/>
      <c r="B438" s="123"/>
      <c r="C438" s="140"/>
      <c r="D438" s="141"/>
      <c r="E438" s="128"/>
      <c r="F438" s="142"/>
      <c r="G438" s="128"/>
      <c r="H438" s="739"/>
      <c r="I438" s="460" t="s">
        <v>383</v>
      </c>
      <c r="J438" s="381" t="s">
        <v>338</v>
      </c>
      <c r="K438" s="436"/>
      <c r="L438" s="436"/>
      <c r="M438" s="436"/>
      <c r="N438" s="436"/>
      <c r="O438" s="436"/>
      <c r="P438" s="436"/>
      <c r="Q438" s="383" t="s">
        <v>383</v>
      </c>
      <c r="R438" s="381" t="s">
        <v>339</v>
      </c>
      <c r="S438" s="384"/>
      <c r="T438" s="436"/>
      <c r="U438" s="436"/>
      <c r="V438" s="436"/>
      <c r="W438" s="436"/>
      <c r="X438" s="437"/>
      <c r="Y438" s="154"/>
      <c r="Z438" s="147"/>
      <c r="AA438" s="147"/>
      <c r="AB438" s="148"/>
      <c r="AC438" s="678"/>
      <c r="AD438" s="679"/>
      <c r="AE438" s="679"/>
      <c r="AF438" s="680"/>
      <c r="AI438" s="109"/>
    </row>
    <row r="439" spans="1:36" ht="18.75" customHeight="1" x14ac:dyDescent="0.2">
      <c r="A439" s="139"/>
      <c r="B439" s="123"/>
      <c r="C439" s="140"/>
      <c r="D439" s="141"/>
      <c r="E439" s="128"/>
      <c r="F439" s="142"/>
      <c r="G439" s="128"/>
      <c r="H439" s="435" t="s">
        <v>442</v>
      </c>
      <c r="I439" s="374" t="s">
        <v>383</v>
      </c>
      <c r="J439" s="350" t="s">
        <v>250</v>
      </c>
      <c r="K439" s="350"/>
      <c r="L439" s="353" t="s">
        <v>383</v>
      </c>
      <c r="M439" s="350" t="s">
        <v>251</v>
      </c>
      <c r="N439" s="350"/>
      <c r="O439" s="353" t="s">
        <v>383</v>
      </c>
      <c r="P439" s="350" t="s">
        <v>252</v>
      </c>
      <c r="Q439" s="355"/>
      <c r="R439" s="355"/>
      <c r="S439" s="355"/>
      <c r="T439" s="355"/>
      <c r="U439" s="410"/>
      <c r="V439" s="410"/>
      <c r="W439" s="410"/>
      <c r="X439" s="411"/>
      <c r="Y439" s="154"/>
      <c r="Z439" s="147"/>
      <c r="AA439" s="147"/>
      <c r="AB439" s="148"/>
      <c r="AC439" s="678"/>
      <c r="AD439" s="679"/>
      <c r="AE439" s="679"/>
      <c r="AF439" s="680"/>
      <c r="AI439" s="109" t="str">
        <f>"2B:field225:" &amp; IF(I439="■",1,IF(L439="■",2,IF(O439="■",3,0)))</f>
        <v>2B:field225:0</v>
      </c>
    </row>
    <row r="440" spans="1:36" ht="18.75" customHeight="1" x14ac:dyDescent="0.2">
      <c r="A440" s="139"/>
      <c r="B440" s="123"/>
      <c r="C440" s="140"/>
      <c r="D440" s="141"/>
      <c r="E440" s="128"/>
      <c r="F440" s="142"/>
      <c r="G440" s="128"/>
      <c r="H440" s="364" t="s">
        <v>118</v>
      </c>
      <c r="I440" s="374" t="s">
        <v>383</v>
      </c>
      <c r="J440" s="350" t="s">
        <v>250</v>
      </c>
      <c r="K440" s="350"/>
      <c r="L440" s="353" t="s">
        <v>383</v>
      </c>
      <c r="M440" s="350" t="s">
        <v>258</v>
      </c>
      <c r="N440" s="350"/>
      <c r="O440" s="353" t="s">
        <v>383</v>
      </c>
      <c r="P440" s="350" t="s">
        <v>259</v>
      </c>
      <c r="Q440" s="420"/>
      <c r="R440" s="353" t="s">
        <v>383</v>
      </c>
      <c r="S440" s="350" t="s">
        <v>283</v>
      </c>
      <c r="T440" s="420"/>
      <c r="U440" s="420"/>
      <c r="V440" s="420"/>
      <c r="W440" s="420"/>
      <c r="X440" s="440"/>
      <c r="Y440" s="154"/>
      <c r="Z440" s="147"/>
      <c r="AA440" s="147"/>
      <c r="AB440" s="148"/>
      <c r="AC440" s="678"/>
      <c r="AD440" s="679"/>
      <c r="AE440" s="679"/>
      <c r="AF440" s="680"/>
      <c r="AI440" s="109" t="str">
        <f>"2B:serteikyo_kyoka_code:" &amp; IF(I440="■",1,IF(L440="■",6,IF(O440="■",5,IF(R440="■",7,0))))</f>
        <v>2B:serteikyo_kyoka_code:0</v>
      </c>
    </row>
    <row r="441" spans="1:36" ht="18.75" customHeight="1" x14ac:dyDescent="0.2">
      <c r="A441" s="139"/>
      <c r="B441" s="123"/>
      <c r="C441" s="140"/>
      <c r="D441" s="141"/>
      <c r="E441" s="128"/>
      <c r="F441" s="142"/>
      <c r="G441" s="128"/>
      <c r="H441" s="713" t="s">
        <v>805</v>
      </c>
      <c r="I441" s="747" t="s">
        <v>383</v>
      </c>
      <c r="J441" s="746" t="s">
        <v>250</v>
      </c>
      <c r="K441" s="746"/>
      <c r="L441" s="747" t="s">
        <v>383</v>
      </c>
      <c r="M441" s="746" t="s">
        <v>267</v>
      </c>
      <c r="N441" s="746"/>
      <c r="O441" s="378"/>
      <c r="P441" s="378"/>
      <c r="Q441" s="378"/>
      <c r="R441" s="378"/>
      <c r="S441" s="378"/>
      <c r="T441" s="378"/>
      <c r="U441" s="378"/>
      <c r="V441" s="378"/>
      <c r="W441" s="378"/>
      <c r="X441" s="379"/>
      <c r="Y441" s="154"/>
      <c r="Z441" s="147"/>
      <c r="AA441" s="147"/>
      <c r="AB441" s="148"/>
      <c r="AC441" s="678"/>
      <c r="AD441" s="679"/>
      <c r="AE441" s="679"/>
      <c r="AF441" s="680"/>
      <c r="AI441" s="109" t="str">
        <f>"2B:field221:" &amp; IF(I441="■",1,IF(L441="■",2,0))</f>
        <v>2B:field221:0</v>
      </c>
    </row>
    <row r="442" spans="1:36" ht="18.75" customHeight="1" x14ac:dyDescent="0.2">
      <c r="A442" s="139"/>
      <c r="B442" s="123"/>
      <c r="C442" s="140"/>
      <c r="D442" s="141"/>
      <c r="E442" s="128"/>
      <c r="F442" s="142"/>
      <c r="G442" s="128"/>
      <c r="H442" s="737"/>
      <c r="I442" s="747"/>
      <c r="J442" s="746"/>
      <c r="K442" s="746"/>
      <c r="L442" s="747"/>
      <c r="M442" s="746"/>
      <c r="N442" s="746"/>
      <c r="O442" s="384"/>
      <c r="P442" s="384"/>
      <c r="Q442" s="384"/>
      <c r="R442" s="384"/>
      <c r="S442" s="384"/>
      <c r="T442" s="384"/>
      <c r="U442" s="384"/>
      <c r="V442" s="384"/>
      <c r="W442" s="384"/>
      <c r="X442" s="385"/>
      <c r="Y442" s="154"/>
      <c r="Z442" s="147"/>
      <c r="AA442" s="147"/>
      <c r="AB442" s="148"/>
      <c r="AC442" s="678"/>
      <c r="AD442" s="679"/>
      <c r="AE442" s="679"/>
      <c r="AF442" s="680"/>
    </row>
    <row r="443" spans="1:36" s="621" customFormat="1" ht="19.8" customHeight="1" x14ac:dyDescent="0.2">
      <c r="A443" s="139"/>
      <c r="B443" s="670"/>
      <c r="C443" s="140"/>
      <c r="D443" s="141"/>
      <c r="E443" s="128"/>
      <c r="F443" s="142"/>
      <c r="G443" s="143"/>
      <c r="H443" s="713" t="s">
        <v>790</v>
      </c>
      <c r="I443" s="642" t="s">
        <v>383</v>
      </c>
      <c r="J443" s="616" t="s">
        <v>627</v>
      </c>
      <c r="K443" s="616"/>
      <c r="L443" s="615"/>
      <c r="M443" s="644" t="s">
        <v>383</v>
      </c>
      <c r="N443" s="616" t="s">
        <v>791</v>
      </c>
      <c r="O443" s="617"/>
      <c r="P443" s="615"/>
      <c r="Q443" s="644" t="s">
        <v>383</v>
      </c>
      <c r="R443" s="618" t="s">
        <v>792</v>
      </c>
      <c r="S443" s="615"/>
      <c r="T443" s="615"/>
      <c r="U443" s="615"/>
      <c r="V443" s="618"/>
      <c r="W443" s="619"/>
      <c r="X443" s="620"/>
      <c r="Y443" s="154"/>
      <c r="Z443" s="147"/>
      <c r="AA443" s="147"/>
      <c r="AB443" s="148"/>
      <c r="AC443" s="678"/>
      <c r="AD443" s="679"/>
      <c r="AE443" s="679"/>
      <c r="AF443" s="680"/>
    </row>
    <row r="444" spans="1:36" s="621" customFormat="1" ht="21" customHeight="1" x14ac:dyDescent="0.2">
      <c r="A444" s="139"/>
      <c r="B444" s="670"/>
      <c r="C444" s="140"/>
      <c r="D444" s="141"/>
      <c r="E444" s="128"/>
      <c r="F444" s="142"/>
      <c r="G444" s="143"/>
      <c r="H444" s="714"/>
      <c r="I444" s="645" t="s">
        <v>383</v>
      </c>
      <c r="J444" s="623" t="s">
        <v>793</v>
      </c>
      <c r="K444" s="623"/>
      <c r="L444" s="622"/>
      <c r="M444" s="645" t="s">
        <v>383</v>
      </c>
      <c r="N444" s="623" t="s">
        <v>794</v>
      </c>
      <c r="O444" s="624"/>
      <c r="P444" s="622"/>
      <c r="Q444" s="645" t="s">
        <v>383</v>
      </c>
      <c r="R444" s="623" t="s">
        <v>795</v>
      </c>
      <c r="S444" s="622"/>
      <c r="T444" s="623"/>
      <c r="U444" s="645" t="s">
        <v>383</v>
      </c>
      <c r="V444" s="623" t="s">
        <v>796</v>
      </c>
      <c r="W444" s="625"/>
      <c r="X444" s="626"/>
      <c r="Y444" s="154"/>
      <c r="Z444" s="147"/>
      <c r="AA444" s="147"/>
      <c r="AB444" s="148"/>
      <c r="AC444" s="678"/>
      <c r="AD444" s="679"/>
      <c r="AE444" s="679"/>
      <c r="AF444" s="680"/>
    </row>
    <row r="445" spans="1:36" ht="18.75" customHeight="1" x14ac:dyDescent="0.2">
      <c r="A445" s="129"/>
      <c r="B445" s="116"/>
      <c r="C445" s="130"/>
      <c r="D445" s="131"/>
      <c r="E445" s="121"/>
      <c r="F445" s="132"/>
      <c r="G445" s="121"/>
      <c r="H445" s="740" t="s">
        <v>97</v>
      </c>
      <c r="I445" s="374" t="s">
        <v>383</v>
      </c>
      <c r="J445" s="413" t="s">
        <v>300</v>
      </c>
      <c r="K445" s="414"/>
      <c r="L445" s="415"/>
      <c r="M445" s="416" t="s">
        <v>383</v>
      </c>
      <c r="N445" s="413" t="s">
        <v>328</v>
      </c>
      <c r="O445" s="417"/>
      <c r="P445" s="417"/>
      <c r="Q445" s="416" t="s">
        <v>383</v>
      </c>
      <c r="R445" s="413" t="s">
        <v>329</v>
      </c>
      <c r="S445" s="417"/>
      <c r="T445" s="417"/>
      <c r="U445" s="416" t="s">
        <v>383</v>
      </c>
      <c r="V445" s="413" t="s">
        <v>330</v>
      </c>
      <c r="W445" s="417"/>
      <c r="X445" s="418"/>
      <c r="Y445" s="138" t="s">
        <v>383</v>
      </c>
      <c r="Z445" s="119" t="s">
        <v>249</v>
      </c>
      <c r="AA445" s="119"/>
      <c r="AB445" s="137"/>
      <c r="AC445" s="675"/>
      <c r="AD445" s="676"/>
      <c r="AE445" s="676"/>
      <c r="AF445" s="677"/>
      <c r="AG445" s="109" t="str">
        <f>"ser_code = '" &amp; IF(A456="■","2B","") &amp; "'"</f>
        <v>ser_code = ''</v>
      </c>
      <c r="AH445" s="109"/>
      <c r="AI445" s="109" t="str">
        <f>"2B:yakan_kinmu_code:" &amp; IF(I445="■",1,IF(M445="■",2,IF(Q445="■",3,IF(U445="■",7,IF(I446="■",5,IF(M446="■",6,0))))))</f>
        <v>2B:yakan_kinmu_code:0</v>
      </c>
      <c r="AJ445" s="109" t="str">
        <f>"2B:field203:" &amp; IF(Y445="■",1,IF(Y446="■",2,0))</f>
        <v>2B:field203:0</v>
      </c>
    </row>
    <row r="446" spans="1:36" ht="18.75" customHeight="1" x14ac:dyDescent="0.2">
      <c r="A446" s="139"/>
      <c r="B446" s="123"/>
      <c r="C446" s="140"/>
      <c r="D446" s="141"/>
      <c r="E446" s="128"/>
      <c r="F446" s="142"/>
      <c r="G446" s="128"/>
      <c r="H446" s="739"/>
      <c r="I446" s="460" t="s">
        <v>383</v>
      </c>
      <c r="J446" s="381" t="s">
        <v>331</v>
      </c>
      <c r="K446" s="419"/>
      <c r="L446" s="382"/>
      <c r="M446" s="383" t="s">
        <v>383</v>
      </c>
      <c r="N446" s="381" t="s">
        <v>301</v>
      </c>
      <c r="O446" s="384"/>
      <c r="P446" s="384"/>
      <c r="Q446" s="384"/>
      <c r="R446" s="384"/>
      <c r="S446" s="384"/>
      <c r="T446" s="384"/>
      <c r="U446" s="384"/>
      <c r="V446" s="384"/>
      <c r="W446" s="384"/>
      <c r="X446" s="385"/>
      <c r="Y446" s="118" t="s">
        <v>383</v>
      </c>
      <c r="Z446" s="126" t="s">
        <v>255</v>
      </c>
      <c r="AA446" s="147"/>
      <c r="AB446" s="148"/>
      <c r="AC446" s="678"/>
      <c r="AD446" s="679"/>
      <c r="AE446" s="679"/>
      <c r="AF446" s="680"/>
      <c r="AG446" s="109" t="str">
        <f>"2B:sisetukbn_code:"&amp;IF(D456="■","5",0)</f>
        <v>2B:sisetukbn_code:0</v>
      </c>
      <c r="AH446" s="109"/>
      <c r="AI446" s="109"/>
      <c r="AJ446" s="109"/>
    </row>
    <row r="447" spans="1:36" ht="18.75" customHeight="1" x14ac:dyDescent="0.2">
      <c r="A447" s="139"/>
      <c r="B447" s="123"/>
      <c r="C447" s="140"/>
      <c r="D447" s="141"/>
      <c r="E447" s="128"/>
      <c r="F447" s="142"/>
      <c r="G447" s="128"/>
      <c r="H447" s="738" t="s">
        <v>181</v>
      </c>
      <c r="I447" s="374" t="s">
        <v>383</v>
      </c>
      <c r="J447" s="375" t="s">
        <v>250</v>
      </c>
      <c r="K447" s="375"/>
      <c r="L447" s="376"/>
      <c r="M447" s="377" t="s">
        <v>383</v>
      </c>
      <c r="N447" s="375" t="s">
        <v>289</v>
      </c>
      <c r="O447" s="375"/>
      <c r="P447" s="376"/>
      <c r="Q447" s="377" t="s">
        <v>383</v>
      </c>
      <c r="R447" s="378" t="s">
        <v>372</v>
      </c>
      <c r="S447" s="378"/>
      <c r="T447" s="378"/>
      <c r="U447" s="410"/>
      <c r="V447" s="376"/>
      <c r="W447" s="378"/>
      <c r="X447" s="411"/>
      <c r="Y447" s="154"/>
      <c r="Z447" s="147"/>
      <c r="AA447" s="147"/>
      <c r="AB447" s="148"/>
      <c r="AC447" s="678"/>
      <c r="AD447" s="679"/>
      <c r="AE447" s="679"/>
      <c r="AF447" s="680"/>
      <c r="AG447" s="109"/>
      <c r="AH447" s="109"/>
      <c r="AI447" s="109" t="str">
        <f>"2B:"&amp;IF(AND(I447="□",M447="□",Q447="□",I448="□",M448="□"),"ketu_doctor_code:0",IF(I447="■","ketu_doctor_code:1:field197:1:ketu_kangos_code:1:ketu_kshoku_code:1",IF(M447="■","ketu_doctor_code:2","ketu_doctor_code:1")
&amp;IF(Q447="■",":field197:2",":field197:1")
&amp;IF(I448="■",":ketu_kangos_code:2",":ketu_kangos_code:1")
&amp;IF(M448="■",":ketu_kshoku_code:2",":ketu_kshoku_code:1")))</f>
        <v>2B:ketu_doctor_code:0</v>
      </c>
      <c r="AJ447" s="109"/>
    </row>
    <row r="448" spans="1:36" ht="18.75" customHeight="1" x14ac:dyDescent="0.2">
      <c r="A448" s="139"/>
      <c r="B448" s="123"/>
      <c r="C448" s="140"/>
      <c r="D448" s="141"/>
      <c r="E448" s="128"/>
      <c r="F448" s="142"/>
      <c r="G448" s="128"/>
      <c r="H448" s="739"/>
      <c r="I448" s="460" t="s">
        <v>383</v>
      </c>
      <c r="J448" s="384" t="s">
        <v>373</v>
      </c>
      <c r="K448" s="384"/>
      <c r="L448" s="384"/>
      <c r="M448" s="383" t="s">
        <v>383</v>
      </c>
      <c r="N448" s="384" t="s">
        <v>374</v>
      </c>
      <c r="O448" s="382"/>
      <c r="P448" s="384"/>
      <c r="Q448" s="384"/>
      <c r="R448" s="382"/>
      <c r="S448" s="384"/>
      <c r="T448" s="384"/>
      <c r="U448" s="436"/>
      <c r="V448" s="382"/>
      <c r="W448" s="384"/>
      <c r="X448" s="437"/>
      <c r="Y448" s="154"/>
      <c r="Z448" s="147"/>
      <c r="AA448" s="147"/>
      <c r="AB448" s="148"/>
      <c r="AC448" s="678"/>
      <c r="AD448" s="679"/>
      <c r="AE448" s="679"/>
      <c r="AF448" s="680"/>
      <c r="AI448" s="109"/>
    </row>
    <row r="449" spans="1:35" ht="18.75" customHeight="1" x14ac:dyDescent="0.2">
      <c r="A449" s="139"/>
      <c r="B449" s="123"/>
      <c r="C449" s="140"/>
      <c r="D449" s="141"/>
      <c r="E449" s="128"/>
      <c r="F449" s="142"/>
      <c r="G449" s="128"/>
      <c r="H449" s="364" t="s">
        <v>98</v>
      </c>
      <c r="I449" s="374" t="s">
        <v>383</v>
      </c>
      <c r="J449" s="350" t="s">
        <v>265</v>
      </c>
      <c r="K449" s="351"/>
      <c r="L449" s="352"/>
      <c r="M449" s="353" t="s">
        <v>383</v>
      </c>
      <c r="N449" s="350" t="s">
        <v>266</v>
      </c>
      <c r="O449" s="355"/>
      <c r="P449" s="355"/>
      <c r="Q449" s="355"/>
      <c r="R449" s="355"/>
      <c r="S449" s="355"/>
      <c r="T449" s="355"/>
      <c r="U449" s="355"/>
      <c r="V449" s="355"/>
      <c r="W449" s="355"/>
      <c r="X449" s="356"/>
      <c r="Y449" s="154"/>
      <c r="Z449" s="147"/>
      <c r="AA449" s="147"/>
      <c r="AB449" s="148"/>
      <c r="AC449" s="678"/>
      <c r="AD449" s="679"/>
      <c r="AE449" s="679"/>
      <c r="AF449" s="680"/>
      <c r="AI449" s="109" t="str">
        <f>"2B:unitcare_code:" &amp; IF(I449="■",1,IF(M449="■",2,0))</f>
        <v>2B:unitcare_code:0</v>
      </c>
    </row>
    <row r="450" spans="1:35" s="109" customFormat="1" ht="18.75" customHeight="1" x14ac:dyDescent="0.2">
      <c r="A450" s="139"/>
      <c r="B450" s="123"/>
      <c r="C450" s="248"/>
      <c r="D450" s="249"/>
      <c r="E450" s="128"/>
      <c r="F450" s="142"/>
      <c r="G450" s="143"/>
      <c r="H450" s="364" t="s">
        <v>107</v>
      </c>
      <c r="I450" s="349" t="s">
        <v>383</v>
      </c>
      <c r="J450" s="350" t="s">
        <v>395</v>
      </c>
      <c r="K450" s="351"/>
      <c r="L450" s="352"/>
      <c r="M450" s="353" t="s">
        <v>383</v>
      </c>
      <c r="N450" s="350" t="s">
        <v>396</v>
      </c>
      <c r="O450" s="351"/>
      <c r="P450" s="351"/>
      <c r="Q450" s="351"/>
      <c r="R450" s="351"/>
      <c r="S450" s="351"/>
      <c r="T450" s="351"/>
      <c r="U450" s="351"/>
      <c r="V450" s="351"/>
      <c r="W450" s="351"/>
      <c r="X450" s="365"/>
      <c r="Y450" s="154"/>
      <c r="Z450" s="147"/>
      <c r="AA450" s="147"/>
      <c r="AB450" s="148"/>
      <c r="AC450" s="678"/>
      <c r="AD450" s="679"/>
      <c r="AE450" s="679"/>
      <c r="AF450" s="680"/>
      <c r="AI450" s="109" t="str">
        <f>"2B:sintaikousoku_code:" &amp; IF(I450="■",1,IF(M450="■",2,0))</f>
        <v>2B:sintaikousoku_code:0</v>
      </c>
    </row>
    <row r="451" spans="1:35" ht="19.5" customHeight="1" x14ac:dyDescent="0.2">
      <c r="A451" s="139"/>
      <c r="B451" s="123"/>
      <c r="C451" s="140"/>
      <c r="D451" s="141"/>
      <c r="E451" s="128"/>
      <c r="F451" s="142"/>
      <c r="G451" s="143"/>
      <c r="H451" s="348" t="s">
        <v>430</v>
      </c>
      <c r="I451" s="374" t="s">
        <v>383</v>
      </c>
      <c r="J451" s="350" t="s">
        <v>395</v>
      </c>
      <c r="K451" s="351"/>
      <c r="L451" s="352"/>
      <c r="M451" s="353" t="s">
        <v>383</v>
      </c>
      <c r="N451" s="350" t="s">
        <v>431</v>
      </c>
      <c r="O451" s="355"/>
      <c r="P451" s="350"/>
      <c r="Q451" s="355"/>
      <c r="R451" s="355"/>
      <c r="S451" s="355"/>
      <c r="T451" s="355"/>
      <c r="U451" s="355"/>
      <c r="V451" s="355"/>
      <c r="W451" s="355"/>
      <c r="X451" s="356"/>
      <c r="Y451" s="147"/>
      <c r="Z451" s="147"/>
      <c r="AA451" s="147"/>
      <c r="AB451" s="148"/>
      <c r="AC451" s="678"/>
      <c r="AD451" s="679"/>
      <c r="AE451" s="679"/>
      <c r="AF451" s="680"/>
      <c r="AI451" s="109" t="str">
        <f>"2B:field223:" &amp; IF(I451="■",1,IF(M451="■",2,0))</f>
        <v>2B:field223:0</v>
      </c>
    </row>
    <row r="452" spans="1:35" ht="19.5" customHeight="1" x14ac:dyDescent="0.2">
      <c r="A452" s="139"/>
      <c r="B452" s="123"/>
      <c r="C452" s="140"/>
      <c r="D452" s="141"/>
      <c r="E452" s="128"/>
      <c r="F452" s="142"/>
      <c r="G452" s="143"/>
      <c r="H452" s="348" t="s">
        <v>448</v>
      </c>
      <c r="I452" s="374" t="s">
        <v>383</v>
      </c>
      <c r="J452" s="350" t="s">
        <v>395</v>
      </c>
      <c r="K452" s="351"/>
      <c r="L452" s="352"/>
      <c r="M452" s="353" t="s">
        <v>383</v>
      </c>
      <c r="N452" s="350" t="s">
        <v>431</v>
      </c>
      <c r="O452" s="355"/>
      <c r="P452" s="350"/>
      <c r="Q452" s="355"/>
      <c r="R452" s="355"/>
      <c r="S452" s="355"/>
      <c r="T452" s="355"/>
      <c r="U452" s="355"/>
      <c r="V452" s="355"/>
      <c r="W452" s="355"/>
      <c r="X452" s="356"/>
      <c r="Y452" s="147"/>
      <c r="Z452" s="147"/>
      <c r="AA452" s="147"/>
      <c r="AB452" s="148"/>
      <c r="AC452" s="678"/>
      <c r="AD452" s="679"/>
      <c r="AE452" s="679"/>
      <c r="AF452" s="680"/>
      <c r="AI452" s="109" t="str">
        <f>"2B:field232:" &amp; IF(I452="■",1,IF(M452="■",2,0))</f>
        <v>2B:field232:0</v>
      </c>
    </row>
    <row r="453" spans="1:35" ht="18.75" customHeight="1" x14ac:dyDescent="0.2">
      <c r="A453" s="139"/>
      <c r="B453" s="123"/>
      <c r="C453" s="140"/>
      <c r="D453" s="141"/>
      <c r="E453" s="128"/>
      <c r="F453" s="142"/>
      <c r="G453" s="128"/>
      <c r="H453" s="364" t="s">
        <v>164</v>
      </c>
      <c r="I453" s="374" t="s">
        <v>383</v>
      </c>
      <c r="J453" s="350" t="s">
        <v>300</v>
      </c>
      <c r="K453" s="351"/>
      <c r="L453" s="352"/>
      <c r="M453" s="353" t="s">
        <v>383</v>
      </c>
      <c r="N453" s="350" t="s">
        <v>332</v>
      </c>
      <c r="O453" s="355"/>
      <c r="P453" s="355"/>
      <c r="Q453" s="355"/>
      <c r="R453" s="355"/>
      <c r="S453" s="355"/>
      <c r="T453" s="355"/>
      <c r="U453" s="355"/>
      <c r="V453" s="355"/>
      <c r="W453" s="355"/>
      <c r="X453" s="356"/>
      <c r="Y453" s="154"/>
      <c r="Z453" s="147"/>
      <c r="AA453" s="147"/>
      <c r="AB453" s="148"/>
      <c r="AC453" s="678"/>
      <c r="AD453" s="679"/>
      <c r="AE453" s="679"/>
      <c r="AF453" s="680"/>
      <c r="AI453" s="109" t="str">
        <f>"2B:field190:" &amp; IF(I453="■",1,IF(M453="■",2,0))</f>
        <v>2B:field190:0</v>
      </c>
    </row>
    <row r="454" spans="1:35" ht="18.75" customHeight="1" x14ac:dyDescent="0.2">
      <c r="A454" s="139"/>
      <c r="B454" s="123"/>
      <c r="C454" s="140"/>
      <c r="D454" s="141"/>
      <c r="E454" s="128"/>
      <c r="F454" s="142"/>
      <c r="G454" s="128"/>
      <c r="H454" s="364" t="s">
        <v>165</v>
      </c>
      <c r="I454" s="374" t="s">
        <v>383</v>
      </c>
      <c r="J454" s="350" t="s">
        <v>300</v>
      </c>
      <c r="K454" s="351"/>
      <c r="L454" s="352"/>
      <c r="M454" s="353" t="s">
        <v>383</v>
      </c>
      <c r="N454" s="350" t="s">
        <v>332</v>
      </c>
      <c r="O454" s="355"/>
      <c r="P454" s="355"/>
      <c r="Q454" s="355"/>
      <c r="R454" s="355"/>
      <c r="S454" s="355"/>
      <c r="T454" s="355"/>
      <c r="U454" s="355"/>
      <c r="V454" s="355"/>
      <c r="W454" s="355"/>
      <c r="X454" s="356"/>
      <c r="Y454" s="154"/>
      <c r="Z454" s="147"/>
      <c r="AA454" s="147"/>
      <c r="AB454" s="148"/>
      <c r="AC454" s="678"/>
      <c r="AD454" s="679"/>
      <c r="AE454" s="679"/>
      <c r="AF454" s="680"/>
      <c r="AI454" s="109" t="str">
        <f>"2B:field191:" &amp; IF(I454="■",1,IF(M454="■",2,0))</f>
        <v>2B:field191:0</v>
      </c>
    </row>
    <row r="455" spans="1:35" ht="18.75" customHeight="1" x14ac:dyDescent="0.2">
      <c r="A455" s="139"/>
      <c r="B455" s="123"/>
      <c r="C455" s="140"/>
      <c r="D455" s="141"/>
      <c r="E455" s="128"/>
      <c r="F455" s="142"/>
      <c r="G455" s="128"/>
      <c r="H455" s="364" t="s">
        <v>486</v>
      </c>
      <c r="I455" s="374" t="s">
        <v>383</v>
      </c>
      <c r="J455" s="350" t="s">
        <v>250</v>
      </c>
      <c r="K455" s="351"/>
      <c r="L455" s="353" t="s">
        <v>383</v>
      </c>
      <c r="M455" s="350" t="s">
        <v>267</v>
      </c>
      <c r="N455" s="355"/>
      <c r="O455" s="355"/>
      <c r="P455" s="355"/>
      <c r="Q455" s="355"/>
      <c r="R455" s="355"/>
      <c r="S455" s="355"/>
      <c r="T455" s="355"/>
      <c r="U455" s="355"/>
      <c r="V455" s="355"/>
      <c r="W455" s="355"/>
      <c r="X455" s="356"/>
      <c r="Y455" s="154"/>
      <c r="Z455" s="147"/>
      <c r="AA455" s="147"/>
      <c r="AB455" s="148"/>
      <c r="AC455" s="678"/>
      <c r="AD455" s="679"/>
      <c r="AE455" s="679"/>
      <c r="AF455" s="680"/>
      <c r="AI455" s="109" t="str">
        <f>"2B:jyakuninti_uke_code:" &amp; IF(I455="■",1,IF(L455="■",2,0))</f>
        <v>2B:jyakuninti_uke_code:0</v>
      </c>
    </row>
    <row r="456" spans="1:35" ht="18.75" customHeight="1" x14ac:dyDescent="0.2">
      <c r="A456" s="125" t="s">
        <v>383</v>
      </c>
      <c r="B456" s="123" t="s">
        <v>498</v>
      </c>
      <c r="C456" s="140" t="s">
        <v>489</v>
      </c>
      <c r="D456" s="125" t="s">
        <v>383</v>
      </c>
      <c r="E456" s="128" t="s">
        <v>504</v>
      </c>
      <c r="F456" s="142"/>
      <c r="G456" s="128"/>
      <c r="H456" s="364" t="s">
        <v>95</v>
      </c>
      <c r="I456" s="374" t="s">
        <v>383</v>
      </c>
      <c r="J456" s="350" t="s">
        <v>265</v>
      </c>
      <c r="K456" s="351"/>
      <c r="L456" s="352"/>
      <c r="M456" s="353" t="s">
        <v>383</v>
      </c>
      <c r="N456" s="350" t="s">
        <v>266</v>
      </c>
      <c r="O456" s="355"/>
      <c r="P456" s="355"/>
      <c r="Q456" s="355"/>
      <c r="R456" s="355"/>
      <c r="S456" s="355"/>
      <c r="T456" s="355"/>
      <c r="U456" s="355"/>
      <c r="V456" s="355"/>
      <c r="W456" s="355"/>
      <c r="X456" s="356"/>
      <c r="Y456" s="154"/>
      <c r="Z456" s="147"/>
      <c r="AA456" s="147"/>
      <c r="AB456" s="148"/>
      <c r="AC456" s="678"/>
      <c r="AD456" s="679"/>
      <c r="AE456" s="679"/>
      <c r="AF456" s="680"/>
      <c r="AI456" s="109" t="str">
        <f>"2B:sougei_code:" &amp; IF(I456="■",1,IF(M456="■",2,0))</f>
        <v>2B:sougei_code:0</v>
      </c>
    </row>
    <row r="457" spans="1:35" ht="19.5" customHeight="1" x14ac:dyDescent="0.2">
      <c r="A457" s="139"/>
      <c r="B457" s="123"/>
      <c r="C457" s="140"/>
      <c r="D457" s="141"/>
      <c r="E457" s="128"/>
      <c r="F457" s="142"/>
      <c r="G457" s="128"/>
      <c r="H457" s="348" t="s">
        <v>433</v>
      </c>
      <c r="I457" s="374" t="s">
        <v>383</v>
      </c>
      <c r="J457" s="350" t="s">
        <v>250</v>
      </c>
      <c r="K457" s="350"/>
      <c r="L457" s="353" t="s">
        <v>383</v>
      </c>
      <c r="M457" s="350" t="s">
        <v>267</v>
      </c>
      <c r="N457" s="350"/>
      <c r="O457" s="355"/>
      <c r="P457" s="350"/>
      <c r="Q457" s="355"/>
      <c r="R457" s="355"/>
      <c r="S457" s="355"/>
      <c r="T457" s="355"/>
      <c r="U457" s="355"/>
      <c r="V457" s="355"/>
      <c r="W457" s="355"/>
      <c r="X457" s="356"/>
      <c r="Y457" s="147"/>
      <c r="Z457" s="147"/>
      <c r="AA457" s="147"/>
      <c r="AB457" s="148"/>
      <c r="AC457" s="678"/>
      <c r="AD457" s="679"/>
      <c r="AE457" s="679"/>
      <c r="AF457" s="680"/>
      <c r="AI457" s="109" t="str">
        <f>"2B:field224:" &amp; IF(I457="■",1,IF(L457="■",2,0))</f>
        <v>2B:field224:0</v>
      </c>
    </row>
    <row r="458" spans="1:35" ht="18.75" customHeight="1" x14ac:dyDescent="0.2">
      <c r="A458" s="139"/>
      <c r="B458" s="123"/>
      <c r="C458" s="140"/>
      <c r="D458" s="141"/>
      <c r="E458" s="128"/>
      <c r="F458" s="142"/>
      <c r="G458" s="128"/>
      <c r="H458" s="364" t="s">
        <v>112</v>
      </c>
      <c r="I458" s="374" t="s">
        <v>383</v>
      </c>
      <c r="J458" s="350" t="s">
        <v>250</v>
      </c>
      <c r="K458" s="351"/>
      <c r="L458" s="353" t="s">
        <v>383</v>
      </c>
      <c r="M458" s="350" t="s">
        <v>267</v>
      </c>
      <c r="N458" s="355"/>
      <c r="O458" s="355"/>
      <c r="P458" s="355"/>
      <c r="Q458" s="355"/>
      <c r="R458" s="355"/>
      <c r="S458" s="355"/>
      <c r="T458" s="355"/>
      <c r="U458" s="355"/>
      <c r="V458" s="355"/>
      <c r="W458" s="355"/>
      <c r="X458" s="356"/>
      <c r="Y458" s="154"/>
      <c r="Z458" s="147"/>
      <c r="AA458" s="147"/>
      <c r="AB458" s="148"/>
      <c r="AC458" s="678"/>
      <c r="AD458" s="679"/>
      <c r="AE458" s="679"/>
      <c r="AF458" s="680"/>
      <c r="AI458" s="109" t="str">
        <f>"2B:ryouyoushoku_code:" &amp; IF(I458="■",1,IF(L458="■",2,0))</f>
        <v>2B:ryouyoushoku_code:0</v>
      </c>
    </row>
    <row r="459" spans="1:35" ht="18.75" customHeight="1" x14ac:dyDescent="0.2">
      <c r="A459" s="139"/>
      <c r="B459" s="123"/>
      <c r="C459" s="140"/>
      <c r="D459" s="141"/>
      <c r="E459" s="128"/>
      <c r="F459" s="142"/>
      <c r="G459" s="128"/>
      <c r="H459" s="364" t="s">
        <v>116</v>
      </c>
      <c r="I459" s="374" t="s">
        <v>383</v>
      </c>
      <c r="J459" s="350" t="s">
        <v>250</v>
      </c>
      <c r="K459" s="350"/>
      <c r="L459" s="353" t="s">
        <v>383</v>
      </c>
      <c r="M459" s="350" t="s">
        <v>251</v>
      </c>
      <c r="N459" s="350"/>
      <c r="O459" s="353" t="s">
        <v>383</v>
      </c>
      <c r="P459" s="350" t="s">
        <v>252</v>
      </c>
      <c r="Q459" s="355"/>
      <c r="R459" s="355"/>
      <c r="S459" s="355"/>
      <c r="T459" s="355"/>
      <c r="U459" s="355"/>
      <c r="V459" s="355"/>
      <c r="W459" s="355"/>
      <c r="X459" s="356"/>
      <c r="Y459" s="154"/>
      <c r="Z459" s="147"/>
      <c r="AA459" s="147"/>
      <c r="AB459" s="148"/>
      <c r="AC459" s="678"/>
      <c r="AD459" s="679"/>
      <c r="AE459" s="679"/>
      <c r="AF459" s="680"/>
      <c r="AI459" s="109" t="str">
        <f>"2B:ninti_senmoncare_code:" &amp; IF(I459="■",1,IF(O459="■",3,IF(L459="■",2,0)))</f>
        <v>2B:ninti_senmoncare_code:0</v>
      </c>
    </row>
    <row r="460" spans="1:35" ht="18.75" customHeight="1" x14ac:dyDescent="0.2">
      <c r="A460" s="139"/>
      <c r="B460" s="123"/>
      <c r="C460" s="140"/>
      <c r="D460" s="141"/>
      <c r="E460" s="128"/>
      <c r="F460" s="142"/>
      <c r="G460" s="128"/>
      <c r="H460" s="738" t="s">
        <v>149</v>
      </c>
      <c r="I460" s="374" t="s">
        <v>383</v>
      </c>
      <c r="J460" s="375" t="s">
        <v>320</v>
      </c>
      <c r="K460" s="375"/>
      <c r="L460" s="410"/>
      <c r="M460" s="410"/>
      <c r="N460" s="410"/>
      <c r="O460" s="410"/>
      <c r="P460" s="377" t="s">
        <v>383</v>
      </c>
      <c r="Q460" s="375" t="s">
        <v>321</v>
      </c>
      <c r="R460" s="410"/>
      <c r="S460" s="410"/>
      <c r="T460" s="410"/>
      <c r="U460" s="410"/>
      <c r="V460" s="410"/>
      <c r="W460" s="410"/>
      <c r="X460" s="411"/>
      <c r="Y460" s="154"/>
      <c r="Z460" s="147"/>
      <c r="AA460" s="147"/>
      <c r="AB460" s="148"/>
      <c r="AC460" s="678"/>
      <c r="AD460" s="679"/>
      <c r="AE460" s="679"/>
      <c r="AF460" s="680"/>
      <c r="AI460" s="109" t="str">
        <f>"2B:" &amp; IF(AND(I460="□",P460="□",I461="□"),"tokusin_jyusho_code:0:tokusin_yakuzai_code:0:shuudan_comu_code:0",IF(I460="■","tokusin_jyusho_code:2","tokusin_jyusho_code:1")
&amp;IF(P460="■",":tokusin_yakuzai_code:2",":tokusin_yakuzai_code:1")
&amp;IF(I461="■",":shuudan_comu_code:2",":shuudan_comu_code:1"))</f>
        <v>2B:tokusin_jyusho_code:0:tokusin_yakuzai_code:0:shuudan_comu_code:0</v>
      </c>
    </row>
    <row r="461" spans="1:35" ht="18.75" customHeight="1" x14ac:dyDescent="0.2">
      <c r="A461" s="139"/>
      <c r="B461" s="123"/>
      <c r="C461" s="140"/>
      <c r="D461" s="141"/>
      <c r="E461" s="128"/>
      <c r="F461" s="142"/>
      <c r="G461" s="128"/>
      <c r="H461" s="739"/>
      <c r="I461" s="460" t="s">
        <v>383</v>
      </c>
      <c r="J461" s="381" t="s">
        <v>334</v>
      </c>
      <c r="K461" s="436"/>
      <c r="L461" s="436"/>
      <c r="M461" s="436"/>
      <c r="N461" s="436"/>
      <c r="O461" s="436"/>
      <c r="P461" s="436"/>
      <c r="Q461" s="384"/>
      <c r="R461" s="436"/>
      <c r="S461" s="436"/>
      <c r="T461" s="436"/>
      <c r="U461" s="436"/>
      <c r="V461" s="436"/>
      <c r="W461" s="436"/>
      <c r="X461" s="437"/>
      <c r="Y461" s="154"/>
      <c r="Z461" s="147"/>
      <c r="AA461" s="147"/>
      <c r="AB461" s="148"/>
      <c r="AC461" s="678"/>
      <c r="AD461" s="679"/>
      <c r="AE461" s="679"/>
      <c r="AF461" s="680"/>
      <c r="AI461" s="109"/>
    </row>
    <row r="462" spans="1:35" ht="18.75" customHeight="1" x14ac:dyDescent="0.2">
      <c r="A462" s="139"/>
      <c r="B462" s="123"/>
      <c r="C462" s="140"/>
      <c r="D462" s="141"/>
      <c r="E462" s="128"/>
      <c r="F462" s="142"/>
      <c r="G462" s="128"/>
      <c r="H462" s="738" t="s">
        <v>103</v>
      </c>
      <c r="I462" s="374" t="s">
        <v>383</v>
      </c>
      <c r="J462" s="375" t="s">
        <v>335</v>
      </c>
      <c r="K462" s="438"/>
      <c r="L462" s="376"/>
      <c r="M462" s="377" t="s">
        <v>383</v>
      </c>
      <c r="N462" s="375" t="s">
        <v>336</v>
      </c>
      <c r="O462" s="410"/>
      <c r="P462" s="410"/>
      <c r="Q462" s="377" t="s">
        <v>383</v>
      </c>
      <c r="R462" s="375" t="s">
        <v>337</v>
      </c>
      <c r="S462" s="410"/>
      <c r="T462" s="410"/>
      <c r="U462" s="410"/>
      <c r="V462" s="410"/>
      <c r="W462" s="410"/>
      <c r="X462" s="411"/>
      <c r="Y462" s="154"/>
      <c r="Z462" s="147"/>
      <c r="AA462" s="147"/>
      <c r="AB462" s="148"/>
      <c r="AC462" s="678"/>
      <c r="AD462" s="679"/>
      <c r="AE462" s="679"/>
      <c r="AF462" s="680"/>
      <c r="AI462" s="109" t="str">
        <f>"2B:"&amp;IF(AND(I462="□",M462="□",Q462="□",I463="□",Q463="□"),"koriha_rryoho1_code:0:koriha_sryoho_code:0:koriha_gengo_code:0:riha_seisin_code:0:koriha_other_code:0",IF(I462="■","koriha_rryoho1_code:2","koriha_rryoho1_code:1")
&amp;IF(M462="■",":koriha_sryoho_code:2",":koriha_sryoho_code:1")
&amp;IF(Q462="■",":koriha_gengo_code:2",":koriha_gengo_code:1")
&amp;IF(I463="■",":riha_seisin_code:2",":riha_seisin_code:1")
&amp;IF(Q463="■",":koriha_other_code:2",":koriha_other_code:1"))</f>
        <v>2B:koriha_rryoho1_code:0:koriha_sryoho_code:0:koriha_gengo_code:0:riha_seisin_code:0:koriha_other_code:0</v>
      </c>
    </row>
    <row r="463" spans="1:35" ht="18.75" customHeight="1" x14ac:dyDescent="0.2">
      <c r="A463" s="139"/>
      <c r="B463" s="123"/>
      <c r="C463" s="140"/>
      <c r="D463" s="141"/>
      <c r="E463" s="128"/>
      <c r="F463" s="142"/>
      <c r="G463" s="128"/>
      <c r="H463" s="739"/>
      <c r="I463" s="460" t="s">
        <v>383</v>
      </c>
      <c r="J463" s="381" t="s">
        <v>338</v>
      </c>
      <c r="K463" s="436"/>
      <c r="L463" s="436"/>
      <c r="M463" s="436"/>
      <c r="N463" s="436"/>
      <c r="O463" s="436"/>
      <c r="P463" s="436"/>
      <c r="Q463" s="383" t="s">
        <v>383</v>
      </c>
      <c r="R463" s="381" t="s">
        <v>339</v>
      </c>
      <c r="S463" s="384"/>
      <c r="T463" s="436"/>
      <c r="U463" s="436"/>
      <c r="V463" s="436"/>
      <c r="W463" s="436"/>
      <c r="X463" s="437"/>
      <c r="Y463" s="154"/>
      <c r="Z463" s="147"/>
      <c r="AA463" s="147"/>
      <c r="AB463" s="148"/>
      <c r="AC463" s="678"/>
      <c r="AD463" s="679"/>
      <c r="AE463" s="679"/>
      <c r="AF463" s="680"/>
      <c r="AI463" s="109"/>
    </row>
    <row r="464" spans="1:35" ht="18.75" customHeight="1" x14ac:dyDescent="0.2">
      <c r="A464" s="139"/>
      <c r="B464" s="123"/>
      <c r="C464" s="140"/>
      <c r="D464" s="141"/>
      <c r="E464" s="128"/>
      <c r="F464" s="142"/>
      <c r="G464" s="128"/>
      <c r="H464" s="435" t="s">
        <v>442</v>
      </c>
      <c r="I464" s="374" t="s">
        <v>383</v>
      </c>
      <c r="J464" s="350" t="s">
        <v>250</v>
      </c>
      <c r="K464" s="350"/>
      <c r="L464" s="353" t="s">
        <v>383</v>
      </c>
      <c r="M464" s="350" t="s">
        <v>251</v>
      </c>
      <c r="N464" s="350"/>
      <c r="O464" s="353" t="s">
        <v>383</v>
      </c>
      <c r="P464" s="350" t="s">
        <v>252</v>
      </c>
      <c r="Q464" s="355"/>
      <c r="R464" s="355"/>
      <c r="S464" s="355"/>
      <c r="T464" s="355"/>
      <c r="U464" s="410"/>
      <c r="V464" s="410"/>
      <c r="W464" s="410"/>
      <c r="X464" s="411"/>
      <c r="Y464" s="154"/>
      <c r="Z464" s="147"/>
      <c r="AA464" s="147"/>
      <c r="AB464" s="148"/>
      <c r="AC464" s="678"/>
      <c r="AD464" s="679"/>
      <c r="AE464" s="679"/>
      <c r="AF464" s="680"/>
      <c r="AI464" s="109" t="str">
        <f>"2B:field225:" &amp; IF(I464="■",1,IF(L464="■",2,IF(O464="■",3,0)))</f>
        <v>2B:field225:0</v>
      </c>
    </row>
    <row r="465" spans="1:36" ht="18.75" customHeight="1" x14ac:dyDescent="0.2">
      <c r="A465" s="139"/>
      <c r="B465" s="123"/>
      <c r="C465" s="140"/>
      <c r="D465" s="141"/>
      <c r="E465" s="128"/>
      <c r="F465" s="142"/>
      <c r="G465" s="128"/>
      <c r="H465" s="364" t="s">
        <v>118</v>
      </c>
      <c r="I465" s="374" t="s">
        <v>383</v>
      </c>
      <c r="J465" s="350" t="s">
        <v>250</v>
      </c>
      <c r="K465" s="350"/>
      <c r="L465" s="353" t="s">
        <v>383</v>
      </c>
      <c r="M465" s="350" t="s">
        <v>258</v>
      </c>
      <c r="N465" s="350"/>
      <c r="O465" s="353" t="s">
        <v>383</v>
      </c>
      <c r="P465" s="350" t="s">
        <v>259</v>
      </c>
      <c r="Q465" s="420"/>
      <c r="R465" s="353" t="s">
        <v>383</v>
      </c>
      <c r="S465" s="350" t="s">
        <v>283</v>
      </c>
      <c r="T465" s="420"/>
      <c r="U465" s="420"/>
      <c r="V465" s="420"/>
      <c r="W465" s="420"/>
      <c r="X465" s="440"/>
      <c r="Y465" s="154"/>
      <c r="Z465" s="147"/>
      <c r="AA465" s="147"/>
      <c r="AB465" s="148"/>
      <c r="AC465" s="678"/>
      <c r="AD465" s="679"/>
      <c r="AE465" s="679"/>
      <c r="AF465" s="680"/>
      <c r="AI465" s="109" t="str">
        <f>"2B:serteikyo_kyoka_code:" &amp; IF(I465="■",1,IF(L465="■",6,IF(O465="■",5,IF(R465="■",7,0))))</f>
        <v>2B:serteikyo_kyoka_code:0</v>
      </c>
    </row>
    <row r="466" spans="1:36" ht="18.75" customHeight="1" x14ac:dyDescent="0.2">
      <c r="A466" s="139"/>
      <c r="B466" s="123"/>
      <c r="C466" s="140"/>
      <c r="D466" s="141"/>
      <c r="E466" s="128"/>
      <c r="F466" s="142"/>
      <c r="G466" s="128"/>
      <c r="H466" s="713" t="s">
        <v>805</v>
      </c>
      <c r="I466" s="747" t="s">
        <v>383</v>
      </c>
      <c r="J466" s="746" t="s">
        <v>250</v>
      </c>
      <c r="K466" s="746"/>
      <c r="L466" s="747" t="s">
        <v>383</v>
      </c>
      <c r="M466" s="746" t="s">
        <v>267</v>
      </c>
      <c r="N466" s="746"/>
      <c r="O466" s="378"/>
      <c r="P466" s="378"/>
      <c r="Q466" s="378"/>
      <c r="R466" s="378"/>
      <c r="S466" s="378"/>
      <c r="T466" s="378"/>
      <c r="U466" s="378"/>
      <c r="V466" s="378"/>
      <c r="W466" s="378"/>
      <c r="X466" s="379"/>
      <c r="Y466" s="154"/>
      <c r="Z466" s="147"/>
      <c r="AA466" s="147"/>
      <c r="AB466" s="148"/>
      <c r="AC466" s="678"/>
      <c r="AD466" s="679"/>
      <c r="AE466" s="679"/>
      <c r="AF466" s="680"/>
      <c r="AI466" s="109" t="str">
        <f>"2B:field221:" &amp; IF(I466="■",1,IF(L466="■",2,0))</f>
        <v>2B:field221:0</v>
      </c>
    </row>
    <row r="467" spans="1:36" ht="18.75" customHeight="1" x14ac:dyDescent="0.2">
      <c r="A467" s="139"/>
      <c r="B467" s="123"/>
      <c r="C467" s="140"/>
      <c r="D467" s="141"/>
      <c r="E467" s="128"/>
      <c r="F467" s="142"/>
      <c r="G467" s="128"/>
      <c r="H467" s="737"/>
      <c r="I467" s="747"/>
      <c r="J467" s="746"/>
      <c r="K467" s="746"/>
      <c r="L467" s="747"/>
      <c r="M467" s="746"/>
      <c r="N467" s="746"/>
      <c r="O467" s="384"/>
      <c r="P467" s="384"/>
      <c r="Q467" s="384"/>
      <c r="R467" s="384"/>
      <c r="S467" s="384"/>
      <c r="T467" s="384"/>
      <c r="U467" s="384"/>
      <c r="V467" s="384"/>
      <c r="W467" s="384"/>
      <c r="X467" s="385"/>
      <c r="Y467" s="154"/>
      <c r="Z467" s="147"/>
      <c r="AA467" s="147"/>
      <c r="AB467" s="148"/>
      <c r="AC467" s="678"/>
      <c r="AD467" s="679"/>
      <c r="AE467" s="679"/>
      <c r="AF467" s="680"/>
    </row>
    <row r="468" spans="1:36" s="621" customFormat="1" ht="22.2" customHeight="1" x14ac:dyDescent="0.2">
      <c r="A468" s="139"/>
      <c r="B468" s="670"/>
      <c r="C468" s="140"/>
      <c r="D468" s="141"/>
      <c r="E468" s="128"/>
      <c r="F468" s="142"/>
      <c r="G468" s="143"/>
      <c r="H468" s="713" t="s">
        <v>790</v>
      </c>
      <c r="I468" s="642" t="s">
        <v>383</v>
      </c>
      <c r="J468" s="616" t="s">
        <v>627</v>
      </c>
      <c r="K468" s="616"/>
      <c r="L468" s="615"/>
      <c r="M468" s="644" t="s">
        <v>383</v>
      </c>
      <c r="N468" s="616" t="s">
        <v>791</v>
      </c>
      <c r="O468" s="617"/>
      <c r="P468" s="615"/>
      <c r="Q468" s="644" t="s">
        <v>383</v>
      </c>
      <c r="R468" s="618" t="s">
        <v>792</v>
      </c>
      <c r="S468" s="615"/>
      <c r="T468" s="615"/>
      <c r="U468" s="615"/>
      <c r="V468" s="618"/>
      <c r="W468" s="619"/>
      <c r="X468" s="620"/>
      <c r="Y468" s="154"/>
      <c r="Z468" s="147"/>
      <c r="AA468" s="147"/>
      <c r="AB468" s="148"/>
      <c r="AC468" s="678"/>
      <c r="AD468" s="679"/>
      <c r="AE468" s="679"/>
      <c r="AF468" s="680"/>
    </row>
    <row r="469" spans="1:36" s="621" customFormat="1" ht="21" customHeight="1" x14ac:dyDescent="0.2">
      <c r="A469" s="139"/>
      <c r="B469" s="670"/>
      <c r="C469" s="140"/>
      <c r="D469" s="141"/>
      <c r="E469" s="128"/>
      <c r="F469" s="142"/>
      <c r="G469" s="143"/>
      <c r="H469" s="714"/>
      <c r="I469" s="645" t="s">
        <v>383</v>
      </c>
      <c r="J469" s="623" t="s">
        <v>793</v>
      </c>
      <c r="K469" s="623"/>
      <c r="L469" s="622"/>
      <c r="M469" s="645" t="s">
        <v>383</v>
      </c>
      <c r="N469" s="623" t="s">
        <v>794</v>
      </c>
      <c r="O469" s="624"/>
      <c r="P469" s="622"/>
      <c r="Q469" s="645" t="s">
        <v>383</v>
      </c>
      <c r="R469" s="623" t="s">
        <v>795</v>
      </c>
      <c r="S469" s="622"/>
      <c r="T469" s="623"/>
      <c r="U469" s="645" t="s">
        <v>383</v>
      </c>
      <c r="V469" s="623" t="s">
        <v>796</v>
      </c>
      <c r="W469" s="625"/>
      <c r="X469" s="626"/>
      <c r="Y469" s="154"/>
      <c r="Z469" s="147"/>
      <c r="AA469" s="147"/>
      <c r="AB469" s="148"/>
      <c r="AC469" s="678"/>
      <c r="AD469" s="679"/>
      <c r="AE469" s="679"/>
      <c r="AF469" s="680"/>
    </row>
    <row r="470" spans="1:36" ht="18.75" customHeight="1" x14ac:dyDescent="0.2">
      <c r="A470" s="129"/>
      <c r="B470" s="116"/>
      <c r="C470" s="130"/>
      <c r="D470" s="131"/>
      <c r="E470" s="121"/>
      <c r="F470" s="132"/>
      <c r="G470" s="121"/>
      <c r="H470" s="740" t="s">
        <v>97</v>
      </c>
      <c r="I470" s="412" t="s">
        <v>383</v>
      </c>
      <c r="J470" s="413" t="s">
        <v>300</v>
      </c>
      <c r="K470" s="414"/>
      <c r="L470" s="415"/>
      <c r="M470" s="416" t="s">
        <v>383</v>
      </c>
      <c r="N470" s="413" t="s">
        <v>328</v>
      </c>
      <c r="O470" s="417"/>
      <c r="P470" s="417"/>
      <c r="Q470" s="416" t="s">
        <v>383</v>
      </c>
      <c r="R470" s="413" t="s">
        <v>329</v>
      </c>
      <c r="S470" s="417"/>
      <c r="T470" s="417"/>
      <c r="U470" s="416" t="s">
        <v>383</v>
      </c>
      <c r="V470" s="413" t="s">
        <v>330</v>
      </c>
      <c r="W470" s="417"/>
      <c r="X470" s="418"/>
      <c r="Y470" s="134" t="s">
        <v>383</v>
      </c>
      <c r="Z470" s="119" t="s">
        <v>249</v>
      </c>
      <c r="AA470" s="119"/>
      <c r="AB470" s="137"/>
      <c r="AC470" s="675"/>
      <c r="AD470" s="676"/>
      <c r="AE470" s="676"/>
      <c r="AF470" s="677"/>
      <c r="AG470" s="109" t="str">
        <f>"ser_code = '" &amp; IF(A480="■","2B","") &amp; "'"</f>
        <v>ser_code = ''</v>
      </c>
      <c r="AH470" s="109" t="str">
        <f>"2B:jininkbn_code:"&amp;IF(F480="■",1,IF(F481="■",2,0))</f>
        <v>2B:jininkbn_code:0</v>
      </c>
      <c r="AI470" s="109" t="str">
        <f>"2B:yakan_kinmu_code:" &amp; IF(I470="■",1,IF(M470="■",2,IF(Q470="■",3,IF(U470="■",7,IF(I471="■",5,IF(M471="■",6,0))))))</f>
        <v>2B:yakan_kinmu_code:0</v>
      </c>
      <c r="AJ470" s="109" t="str">
        <f>"2B:field203:" &amp; IF(Y470="■",1,IF(Y471="■",2,0))</f>
        <v>2B:field203:0</v>
      </c>
    </row>
    <row r="471" spans="1:36" ht="18.75" customHeight="1" x14ac:dyDescent="0.2">
      <c r="A471" s="139"/>
      <c r="B471" s="123"/>
      <c r="C471" s="140"/>
      <c r="D471" s="141"/>
      <c r="E471" s="128"/>
      <c r="F471" s="142"/>
      <c r="G471" s="128"/>
      <c r="H471" s="739"/>
      <c r="I471" s="460" t="s">
        <v>383</v>
      </c>
      <c r="J471" s="381" t="s">
        <v>331</v>
      </c>
      <c r="K471" s="419"/>
      <c r="L471" s="382"/>
      <c r="M471" s="383" t="s">
        <v>383</v>
      </c>
      <c r="N471" s="381" t="s">
        <v>301</v>
      </c>
      <c r="O471" s="384"/>
      <c r="P471" s="384"/>
      <c r="Q471" s="384"/>
      <c r="R471" s="384"/>
      <c r="S471" s="384"/>
      <c r="T471" s="384"/>
      <c r="U471" s="384"/>
      <c r="V471" s="384"/>
      <c r="W471" s="384"/>
      <c r="X471" s="385"/>
      <c r="Y471" s="118" t="s">
        <v>383</v>
      </c>
      <c r="Z471" s="126" t="s">
        <v>255</v>
      </c>
      <c r="AA471" s="147"/>
      <c r="AB471" s="148"/>
      <c r="AC471" s="678"/>
      <c r="AD471" s="679"/>
      <c r="AE471" s="679"/>
      <c r="AF471" s="680"/>
      <c r="AG471" s="109" t="str">
        <f>"2B:sisetukbn_code:"&amp;IF(D480="■","6",0)</f>
        <v>2B:sisetukbn_code:0</v>
      </c>
      <c r="AH471" s="109"/>
      <c r="AI471" s="109"/>
      <c r="AJ471" s="109"/>
    </row>
    <row r="472" spans="1:36" ht="18.75" customHeight="1" x14ac:dyDescent="0.2">
      <c r="A472" s="139"/>
      <c r="B472" s="123"/>
      <c r="C472" s="140"/>
      <c r="D472" s="141"/>
      <c r="E472" s="128"/>
      <c r="F472" s="142"/>
      <c r="G472" s="128"/>
      <c r="H472" s="738" t="s">
        <v>93</v>
      </c>
      <c r="I472" s="374" t="s">
        <v>383</v>
      </c>
      <c r="J472" s="375" t="s">
        <v>250</v>
      </c>
      <c r="K472" s="375"/>
      <c r="L472" s="376"/>
      <c r="M472" s="377" t="s">
        <v>383</v>
      </c>
      <c r="N472" s="375" t="s">
        <v>289</v>
      </c>
      <c r="O472" s="375"/>
      <c r="P472" s="376"/>
      <c r="Q472" s="377" t="s">
        <v>383</v>
      </c>
      <c r="R472" s="378" t="s">
        <v>372</v>
      </c>
      <c r="S472" s="378"/>
      <c r="T472" s="378"/>
      <c r="U472" s="410"/>
      <c r="V472" s="376"/>
      <c r="W472" s="378"/>
      <c r="X472" s="411"/>
      <c r="Y472" s="154"/>
      <c r="Z472" s="147"/>
      <c r="AA472" s="147"/>
      <c r="AB472" s="148"/>
      <c r="AC472" s="678"/>
      <c r="AD472" s="679"/>
      <c r="AE472" s="679"/>
      <c r="AF472" s="680"/>
      <c r="AI472" s="109" t="str">
        <f>"2B:"&amp;IF(AND(I472="□",M472="□",Q472="□",I473="□",M473="□"),"ketu_doctor_code:0",IF(I472="■","ketu_doctor_code:1:field197:1:ketu_kangos_code:1:ketu_kshoku_code:1",IF(M472="■","ketu_doctor_code:2","ketu_doctor_code:1")
&amp;IF(Q472="■",":field197:2",":field197:1")
&amp;IF(I473="■",":ketu_kangos_code:2",":ketu_kangos_code:1")
&amp;IF(M473="■",":ketu_kshoku_code:2",":ketu_kshoku_code:1")))</f>
        <v>2B:ketu_doctor_code:0</v>
      </c>
    </row>
    <row r="473" spans="1:36" ht="18.75" customHeight="1" x14ac:dyDescent="0.2">
      <c r="A473" s="139"/>
      <c r="B473" s="123"/>
      <c r="C473" s="140"/>
      <c r="D473" s="141"/>
      <c r="E473" s="128"/>
      <c r="F473" s="142"/>
      <c r="G473" s="128"/>
      <c r="H473" s="739"/>
      <c r="I473" s="460" t="s">
        <v>383</v>
      </c>
      <c r="J473" s="384" t="s">
        <v>373</v>
      </c>
      <c r="K473" s="384"/>
      <c r="L473" s="384"/>
      <c r="M473" s="383" t="s">
        <v>383</v>
      </c>
      <c r="N473" s="384" t="s">
        <v>374</v>
      </c>
      <c r="O473" s="382"/>
      <c r="P473" s="384"/>
      <c r="Q473" s="384"/>
      <c r="R473" s="382"/>
      <c r="S473" s="384"/>
      <c r="T473" s="384"/>
      <c r="U473" s="436"/>
      <c r="V473" s="382"/>
      <c r="W473" s="384"/>
      <c r="X473" s="437"/>
      <c r="Y473" s="154"/>
      <c r="Z473" s="147"/>
      <c r="AA473" s="147"/>
      <c r="AB473" s="148"/>
      <c r="AC473" s="678"/>
      <c r="AD473" s="679"/>
      <c r="AE473" s="679"/>
      <c r="AF473" s="680"/>
      <c r="AI473" s="109"/>
    </row>
    <row r="474" spans="1:36" ht="18.75" customHeight="1" x14ac:dyDescent="0.2">
      <c r="A474" s="139"/>
      <c r="B474" s="123"/>
      <c r="C474" s="140"/>
      <c r="D474" s="141"/>
      <c r="E474" s="128"/>
      <c r="F474" s="142"/>
      <c r="G474" s="128"/>
      <c r="H474" s="364" t="s">
        <v>98</v>
      </c>
      <c r="I474" s="374" t="s">
        <v>383</v>
      </c>
      <c r="J474" s="350" t="s">
        <v>265</v>
      </c>
      <c r="K474" s="351"/>
      <c r="L474" s="352"/>
      <c r="M474" s="353" t="s">
        <v>383</v>
      </c>
      <c r="N474" s="350" t="s">
        <v>266</v>
      </c>
      <c r="O474" s="355"/>
      <c r="P474" s="355"/>
      <c r="Q474" s="355"/>
      <c r="R474" s="355"/>
      <c r="S474" s="355"/>
      <c r="T474" s="355"/>
      <c r="U474" s="355"/>
      <c r="V474" s="355"/>
      <c r="W474" s="355"/>
      <c r="X474" s="356"/>
      <c r="Y474" s="154"/>
      <c r="Z474" s="147"/>
      <c r="AA474" s="147"/>
      <c r="AB474" s="148"/>
      <c r="AC474" s="678"/>
      <c r="AD474" s="679"/>
      <c r="AE474" s="679"/>
      <c r="AF474" s="680"/>
      <c r="AI474" s="109" t="str">
        <f>"2B:unitcare_code:" &amp; IF(I474="■",1,IF(M474="■",2,0))</f>
        <v>2B:unitcare_code:0</v>
      </c>
    </row>
    <row r="475" spans="1:36" s="109" customFormat="1" ht="18.75" customHeight="1" x14ac:dyDescent="0.2">
      <c r="A475" s="139"/>
      <c r="B475" s="123"/>
      <c r="C475" s="248"/>
      <c r="D475" s="249"/>
      <c r="E475" s="128"/>
      <c r="F475" s="142"/>
      <c r="G475" s="143"/>
      <c r="H475" s="364" t="s">
        <v>107</v>
      </c>
      <c r="I475" s="349" t="s">
        <v>383</v>
      </c>
      <c r="J475" s="350" t="s">
        <v>395</v>
      </c>
      <c r="K475" s="351"/>
      <c r="L475" s="352"/>
      <c r="M475" s="353" t="s">
        <v>383</v>
      </c>
      <c r="N475" s="350" t="s">
        <v>396</v>
      </c>
      <c r="O475" s="351"/>
      <c r="P475" s="351"/>
      <c r="Q475" s="351"/>
      <c r="R475" s="351"/>
      <c r="S475" s="351"/>
      <c r="T475" s="351"/>
      <c r="U475" s="351"/>
      <c r="V475" s="351"/>
      <c r="W475" s="351"/>
      <c r="X475" s="365"/>
      <c r="Y475" s="154"/>
      <c r="Z475" s="147"/>
      <c r="AA475" s="147"/>
      <c r="AB475" s="148"/>
      <c r="AC475" s="678"/>
      <c r="AD475" s="679"/>
      <c r="AE475" s="679"/>
      <c r="AF475" s="680"/>
      <c r="AI475" s="109" t="str">
        <f>"2B:sintaikousoku_code:" &amp; IF(I475="■",1,IF(M475="■",2,0))</f>
        <v>2B:sintaikousoku_code:0</v>
      </c>
    </row>
    <row r="476" spans="1:36" ht="19.5" customHeight="1" x14ac:dyDescent="0.2">
      <c r="A476" s="139"/>
      <c r="B476" s="123"/>
      <c r="C476" s="140"/>
      <c r="D476" s="141"/>
      <c r="E476" s="128"/>
      <c r="F476" s="142"/>
      <c r="G476" s="143"/>
      <c r="H476" s="348" t="s">
        <v>430</v>
      </c>
      <c r="I476" s="374" t="s">
        <v>383</v>
      </c>
      <c r="J476" s="350" t="s">
        <v>395</v>
      </c>
      <c r="K476" s="351"/>
      <c r="L476" s="352"/>
      <c r="M476" s="353" t="s">
        <v>383</v>
      </c>
      <c r="N476" s="350" t="s">
        <v>431</v>
      </c>
      <c r="O476" s="350"/>
      <c r="P476" s="350"/>
      <c r="Q476" s="355"/>
      <c r="R476" s="355"/>
      <c r="S476" s="355"/>
      <c r="T476" s="355"/>
      <c r="U476" s="355"/>
      <c r="V476" s="355"/>
      <c r="W476" s="355"/>
      <c r="X476" s="356"/>
      <c r="Y476" s="147"/>
      <c r="Z476" s="147"/>
      <c r="AA476" s="147"/>
      <c r="AB476" s="148"/>
      <c r="AC476" s="678"/>
      <c r="AD476" s="679"/>
      <c r="AE476" s="679"/>
      <c r="AF476" s="680"/>
      <c r="AI476" s="109" t="str">
        <f>"2B:field223:" &amp; IF(I476="■",1,IF(M476="■",2,0))</f>
        <v>2B:field223:0</v>
      </c>
    </row>
    <row r="477" spans="1:36" ht="19.5" customHeight="1" x14ac:dyDescent="0.2">
      <c r="A477" s="139"/>
      <c r="B477" s="123"/>
      <c r="C477" s="140"/>
      <c r="D477" s="141"/>
      <c r="E477" s="128"/>
      <c r="F477" s="142"/>
      <c r="G477" s="143"/>
      <c r="H477" s="348" t="s">
        <v>448</v>
      </c>
      <c r="I477" s="374" t="s">
        <v>383</v>
      </c>
      <c r="J477" s="350" t="s">
        <v>395</v>
      </c>
      <c r="K477" s="351"/>
      <c r="L477" s="352"/>
      <c r="M477" s="353" t="s">
        <v>383</v>
      </c>
      <c r="N477" s="350" t="s">
        <v>431</v>
      </c>
      <c r="O477" s="350"/>
      <c r="P477" s="350"/>
      <c r="Q477" s="355"/>
      <c r="R477" s="355"/>
      <c r="S477" s="355"/>
      <c r="T477" s="355"/>
      <c r="U477" s="355"/>
      <c r="V477" s="355"/>
      <c r="W477" s="355"/>
      <c r="X477" s="356"/>
      <c r="Y477" s="147"/>
      <c r="Z477" s="147"/>
      <c r="AA477" s="147"/>
      <c r="AB477" s="148"/>
      <c r="AC477" s="678"/>
      <c r="AD477" s="679"/>
      <c r="AE477" s="679"/>
      <c r="AF477" s="680"/>
      <c r="AI477" s="109" t="str">
        <f>"2B:field232:" &amp; IF(I477="■",1,IF(M477="■",2,0))</f>
        <v>2B:field232:0</v>
      </c>
    </row>
    <row r="478" spans="1:36" ht="18.75" customHeight="1" x14ac:dyDescent="0.2">
      <c r="A478" s="139"/>
      <c r="B478" s="123"/>
      <c r="C478" s="140"/>
      <c r="D478" s="141"/>
      <c r="E478" s="128"/>
      <c r="F478" s="142"/>
      <c r="G478" s="128"/>
      <c r="H478" s="364" t="s">
        <v>164</v>
      </c>
      <c r="I478" s="374" t="s">
        <v>383</v>
      </c>
      <c r="J478" s="350" t="s">
        <v>300</v>
      </c>
      <c r="K478" s="351"/>
      <c r="L478" s="352"/>
      <c r="M478" s="353" t="s">
        <v>383</v>
      </c>
      <c r="N478" s="350" t="s">
        <v>332</v>
      </c>
      <c r="O478" s="355"/>
      <c r="P478" s="355"/>
      <c r="Q478" s="355"/>
      <c r="R478" s="355"/>
      <c r="S478" s="355"/>
      <c r="T478" s="355"/>
      <c r="U478" s="355"/>
      <c r="V478" s="355"/>
      <c r="W478" s="355"/>
      <c r="X478" s="356"/>
      <c r="Y478" s="154"/>
      <c r="Z478" s="147"/>
      <c r="AA478" s="147"/>
      <c r="AB478" s="148"/>
      <c r="AC478" s="678"/>
      <c r="AD478" s="679"/>
      <c r="AE478" s="679"/>
      <c r="AF478" s="680"/>
      <c r="AI478" s="109" t="str">
        <f>"2B:field190:" &amp; IF(I478="■",1,IF(M478="■",2,0))</f>
        <v>2B:field190:0</v>
      </c>
    </row>
    <row r="479" spans="1:36" ht="18.75" customHeight="1" x14ac:dyDescent="0.2">
      <c r="A479" s="139"/>
      <c r="B479" s="123"/>
      <c r="C479" s="140"/>
      <c r="D479" s="141"/>
      <c r="E479" s="128"/>
      <c r="F479" s="142"/>
      <c r="G479" s="128"/>
      <c r="H479" s="364" t="s">
        <v>165</v>
      </c>
      <c r="I479" s="374" t="s">
        <v>383</v>
      </c>
      <c r="J479" s="350" t="s">
        <v>300</v>
      </c>
      <c r="K479" s="351"/>
      <c r="L479" s="352"/>
      <c r="M479" s="353" t="s">
        <v>383</v>
      </c>
      <c r="N479" s="350" t="s">
        <v>332</v>
      </c>
      <c r="O479" s="355"/>
      <c r="P479" s="355"/>
      <c r="Q479" s="355"/>
      <c r="R479" s="355"/>
      <c r="S479" s="355"/>
      <c r="T479" s="355"/>
      <c r="U479" s="355"/>
      <c r="V479" s="355"/>
      <c r="W479" s="355"/>
      <c r="X479" s="356"/>
      <c r="Y479" s="154"/>
      <c r="Z479" s="147"/>
      <c r="AA479" s="147"/>
      <c r="AB479" s="148"/>
      <c r="AC479" s="678"/>
      <c r="AD479" s="679"/>
      <c r="AE479" s="679"/>
      <c r="AF479" s="680"/>
      <c r="AI479" s="109" t="str">
        <f>"2B:field191:" &amp; IF(I479="■",1,IF(M479="■",2,0))</f>
        <v>2B:field191:0</v>
      </c>
    </row>
    <row r="480" spans="1:36" ht="18.75" customHeight="1" x14ac:dyDescent="0.2">
      <c r="A480" s="125" t="s">
        <v>383</v>
      </c>
      <c r="B480" s="123" t="s">
        <v>498</v>
      </c>
      <c r="C480" s="140" t="s">
        <v>489</v>
      </c>
      <c r="D480" s="125" t="s">
        <v>383</v>
      </c>
      <c r="E480" s="128" t="s">
        <v>382</v>
      </c>
      <c r="F480" s="125" t="s">
        <v>383</v>
      </c>
      <c r="G480" s="128" t="s">
        <v>379</v>
      </c>
      <c r="H480" s="364" t="s">
        <v>486</v>
      </c>
      <c r="I480" s="374" t="s">
        <v>383</v>
      </c>
      <c r="J480" s="350" t="s">
        <v>250</v>
      </c>
      <c r="K480" s="351"/>
      <c r="L480" s="353" t="s">
        <v>383</v>
      </c>
      <c r="M480" s="350" t="s">
        <v>267</v>
      </c>
      <c r="N480" s="355"/>
      <c r="O480" s="355"/>
      <c r="P480" s="355"/>
      <c r="Q480" s="355"/>
      <c r="R480" s="355"/>
      <c r="S480" s="355"/>
      <c r="T480" s="355"/>
      <c r="U480" s="355"/>
      <c r="V480" s="355"/>
      <c r="W480" s="355"/>
      <c r="X480" s="356"/>
      <c r="Y480" s="154"/>
      <c r="Z480" s="147"/>
      <c r="AA480" s="147"/>
      <c r="AB480" s="148"/>
      <c r="AC480" s="678"/>
      <c r="AD480" s="679"/>
      <c r="AE480" s="679"/>
      <c r="AF480" s="680"/>
      <c r="AI480" s="109" t="str">
        <f>"2B:jyakuninti_uke_code:" &amp; IF(I480="■",1,IF(L480="■",2,0))</f>
        <v>2B:jyakuninti_uke_code:0</v>
      </c>
    </row>
    <row r="481" spans="1:37" ht="18.75" customHeight="1" x14ac:dyDescent="0.2">
      <c r="A481" s="139"/>
      <c r="B481" s="123"/>
      <c r="C481" s="140"/>
      <c r="D481" s="141"/>
      <c r="E481" s="128"/>
      <c r="F481" s="125" t="s">
        <v>383</v>
      </c>
      <c r="G481" s="128" t="s">
        <v>365</v>
      </c>
      <c r="H481" s="364" t="s">
        <v>95</v>
      </c>
      <c r="I481" s="374" t="s">
        <v>383</v>
      </c>
      <c r="J481" s="350" t="s">
        <v>265</v>
      </c>
      <c r="K481" s="351"/>
      <c r="L481" s="352"/>
      <c r="M481" s="353" t="s">
        <v>383</v>
      </c>
      <c r="N481" s="350" t="s">
        <v>266</v>
      </c>
      <c r="O481" s="355"/>
      <c r="P481" s="355"/>
      <c r="Q481" s="355"/>
      <c r="R481" s="355"/>
      <c r="S481" s="355"/>
      <c r="T481" s="355"/>
      <c r="U481" s="355"/>
      <c r="V481" s="355"/>
      <c r="W481" s="355"/>
      <c r="X481" s="356"/>
      <c r="Y481" s="154"/>
      <c r="Z481" s="147"/>
      <c r="AA481" s="147"/>
      <c r="AB481" s="148"/>
      <c r="AC481" s="678"/>
      <c r="AD481" s="679"/>
      <c r="AE481" s="679"/>
      <c r="AF481" s="680"/>
      <c r="AI481" s="109" t="str">
        <f>"2B:sougei_code:" &amp; IF(I481="■",1,IF(M481="■",2,0))</f>
        <v>2B:sougei_code:0</v>
      </c>
    </row>
    <row r="482" spans="1:37" ht="19.5" customHeight="1" x14ac:dyDescent="0.2">
      <c r="A482" s="139"/>
      <c r="B482" s="123"/>
      <c r="C482" s="140"/>
      <c r="D482" s="141"/>
      <c r="E482" s="128"/>
      <c r="F482" s="142"/>
      <c r="G482" s="143"/>
      <c r="H482" s="348" t="s">
        <v>433</v>
      </c>
      <c r="I482" s="374" t="s">
        <v>383</v>
      </c>
      <c r="J482" s="350" t="s">
        <v>250</v>
      </c>
      <c r="K482" s="350"/>
      <c r="L482" s="353" t="s">
        <v>383</v>
      </c>
      <c r="M482" s="350" t="s">
        <v>267</v>
      </c>
      <c r="N482" s="350"/>
      <c r="O482" s="355"/>
      <c r="P482" s="350"/>
      <c r="Q482" s="355"/>
      <c r="R482" s="355"/>
      <c r="S482" s="355"/>
      <c r="T482" s="355"/>
      <c r="U482" s="355"/>
      <c r="V482" s="355"/>
      <c r="W482" s="355"/>
      <c r="X482" s="356"/>
      <c r="Y482" s="147"/>
      <c r="Z482" s="147"/>
      <c r="AA482" s="147"/>
      <c r="AB482" s="148"/>
      <c r="AC482" s="678"/>
      <c r="AD482" s="679"/>
      <c r="AE482" s="679"/>
      <c r="AF482" s="680"/>
      <c r="AI482" s="109" t="str">
        <f>"2B:field224:" &amp; IF(I482="■",1,IF(L482="■",2,0))</f>
        <v>2B:field224:0</v>
      </c>
    </row>
    <row r="483" spans="1:37" ht="18.75" customHeight="1" x14ac:dyDescent="0.2">
      <c r="A483" s="139"/>
      <c r="B483" s="123"/>
      <c r="C483" s="140"/>
      <c r="D483" s="141"/>
      <c r="E483" s="128"/>
      <c r="F483" s="142"/>
      <c r="G483" s="128"/>
      <c r="H483" s="364" t="s">
        <v>112</v>
      </c>
      <c r="I483" s="374" t="s">
        <v>383</v>
      </c>
      <c r="J483" s="350" t="s">
        <v>250</v>
      </c>
      <c r="K483" s="351"/>
      <c r="L483" s="353" t="s">
        <v>383</v>
      </c>
      <c r="M483" s="350" t="s">
        <v>267</v>
      </c>
      <c r="N483" s="355"/>
      <c r="O483" s="355"/>
      <c r="P483" s="355"/>
      <c r="Q483" s="355"/>
      <c r="R483" s="355"/>
      <c r="S483" s="355"/>
      <c r="T483" s="355"/>
      <c r="U483" s="355"/>
      <c r="V483" s="355"/>
      <c r="W483" s="355"/>
      <c r="X483" s="356"/>
      <c r="Y483" s="154"/>
      <c r="Z483" s="147"/>
      <c r="AA483" s="147"/>
      <c r="AB483" s="148"/>
      <c r="AC483" s="678"/>
      <c r="AD483" s="679"/>
      <c r="AE483" s="679"/>
      <c r="AF483" s="680"/>
      <c r="AI483" s="109" t="str">
        <f>"2B:ryouyoushoku_code:" &amp; IF(I483="■",1,IF(L483="■",2,0))</f>
        <v>2B:ryouyoushoku_code:0</v>
      </c>
    </row>
    <row r="484" spans="1:37" ht="18.75" customHeight="1" x14ac:dyDescent="0.2">
      <c r="A484" s="139"/>
      <c r="B484" s="123"/>
      <c r="C484" s="140"/>
      <c r="D484" s="141"/>
      <c r="E484" s="128"/>
      <c r="F484" s="142"/>
      <c r="G484" s="128"/>
      <c r="H484" s="364" t="s">
        <v>116</v>
      </c>
      <c r="I484" s="374" t="s">
        <v>383</v>
      </c>
      <c r="J484" s="350" t="s">
        <v>250</v>
      </c>
      <c r="K484" s="350"/>
      <c r="L484" s="353" t="s">
        <v>383</v>
      </c>
      <c r="M484" s="350" t="s">
        <v>251</v>
      </c>
      <c r="N484" s="350"/>
      <c r="O484" s="353" t="s">
        <v>383</v>
      </c>
      <c r="P484" s="350" t="s">
        <v>252</v>
      </c>
      <c r="Q484" s="355"/>
      <c r="R484" s="355"/>
      <c r="S484" s="355"/>
      <c r="T484" s="355"/>
      <c r="U484" s="355"/>
      <c r="V484" s="355"/>
      <c r="W484" s="355"/>
      <c r="X484" s="356"/>
      <c r="Y484" s="154"/>
      <c r="Z484" s="147"/>
      <c r="AA484" s="147"/>
      <c r="AB484" s="148"/>
      <c r="AC484" s="678"/>
      <c r="AD484" s="679"/>
      <c r="AE484" s="679"/>
      <c r="AF484" s="680"/>
      <c r="AI484" s="109" t="str">
        <f>"2B:ninti_senmoncare_code:" &amp; IF(I484="■",1,IF(O484="■",3,IF(L484="■",2,0)))</f>
        <v>2B:ninti_senmoncare_code:0</v>
      </c>
    </row>
    <row r="485" spans="1:37" ht="18.75" customHeight="1" x14ac:dyDescent="0.2">
      <c r="A485" s="139"/>
      <c r="B485" s="123"/>
      <c r="C485" s="140"/>
      <c r="D485" s="141"/>
      <c r="E485" s="128"/>
      <c r="F485" s="142"/>
      <c r="G485" s="128"/>
      <c r="H485" s="435" t="s">
        <v>442</v>
      </c>
      <c r="I485" s="374" t="s">
        <v>383</v>
      </c>
      <c r="J485" s="350" t="s">
        <v>250</v>
      </c>
      <c r="K485" s="350"/>
      <c r="L485" s="353" t="s">
        <v>383</v>
      </c>
      <c r="M485" s="350" t="s">
        <v>251</v>
      </c>
      <c r="N485" s="350"/>
      <c r="O485" s="353" t="s">
        <v>383</v>
      </c>
      <c r="P485" s="350" t="s">
        <v>252</v>
      </c>
      <c r="Q485" s="355"/>
      <c r="R485" s="355"/>
      <c r="S485" s="355"/>
      <c r="T485" s="355"/>
      <c r="U485" s="410"/>
      <c r="V485" s="410"/>
      <c r="W485" s="410"/>
      <c r="X485" s="411"/>
      <c r="Y485" s="154"/>
      <c r="Z485" s="147"/>
      <c r="AA485" s="147"/>
      <c r="AB485" s="148"/>
      <c r="AC485" s="678"/>
      <c r="AD485" s="679"/>
      <c r="AE485" s="679"/>
      <c r="AF485" s="680"/>
      <c r="AI485" s="109" t="str">
        <f>"2B:field225:" &amp; IF(I485="■",1,IF(L485="■",2,IF(O485="■",3,0)))</f>
        <v>2B:field225:0</v>
      </c>
    </row>
    <row r="486" spans="1:37" ht="18.75" customHeight="1" x14ac:dyDescent="0.2">
      <c r="A486" s="139"/>
      <c r="B486" s="123"/>
      <c r="C486" s="140"/>
      <c r="D486" s="141"/>
      <c r="E486" s="128"/>
      <c r="F486" s="142"/>
      <c r="G486" s="128"/>
      <c r="H486" s="364" t="s">
        <v>118</v>
      </c>
      <c r="I486" s="374" t="s">
        <v>383</v>
      </c>
      <c r="J486" s="350" t="s">
        <v>250</v>
      </c>
      <c r="K486" s="350"/>
      <c r="L486" s="353" t="s">
        <v>383</v>
      </c>
      <c r="M486" s="350" t="s">
        <v>258</v>
      </c>
      <c r="N486" s="350"/>
      <c r="O486" s="353" t="s">
        <v>383</v>
      </c>
      <c r="P486" s="350" t="s">
        <v>259</v>
      </c>
      <c r="Q486" s="420"/>
      <c r="R486" s="353" t="s">
        <v>383</v>
      </c>
      <c r="S486" s="350" t="s">
        <v>283</v>
      </c>
      <c r="T486" s="420"/>
      <c r="U486" s="420"/>
      <c r="V486" s="420"/>
      <c r="W486" s="420"/>
      <c r="X486" s="440"/>
      <c r="Y486" s="154"/>
      <c r="Z486" s="147"/>
      <c r="AA486" s="147"/>
      <c r="AB486" s="148"/>
      <c r="AC486" s="678"/>
      <c r="AD486" s="679"/>
      <c r="AE486" s="679"/>
      <c r="AF486" s="680"/>
      <c r="AI486" s="109" t="str">
        <f>"2B:serteikyo_kyoka_code:" &amp; IF(I486="■",1,IF(L486="■",6,IF(O486="■",5,IF(R486="■",7,0))))</f>
        <v>2B:serteikyo_kyoka_code:0</v>
      </c>
    </row>
    <row r="487" spans="1:37" ht="18.75" customHeight="1" x14ac:dyDescent="0.2">
      <c r="A487" s="139"/>
      <c r="B487" s="123"/>
      <c r="C487" s="140"/>
      <c r="D487" s="141"/>
      <c r="E487" s="128"/>
      <c r="F487" s="142"/>
      <c r="G487" s="128"/>
      <c r="H487" s="713" t="s">
        <v>805</v>
      </c>
      <c r="I487" s="747" t="s">
        <v>383</v>
      </c>
      <c r="J487" s="746" t="s">
        <v>250</v>
      </c>
      <c r="K487" s="746"/>
      <c r="L487" s="747" t="s">
        <v>383</v>
      </c>
      <c r="M487" s="746" t="s">
        <v>267</v>
      </c>
      <c r="N487" s="746"/>
      <c r="O487" s="378"/>
      <c r="P487" s="378"/>
      <c r="Q487" s="378"/>
      <c r="R487" s="378"/>
      <c r="S487" s="378"/>
      <c r="T487" s="378"/>
      <c r="U487" s="378"/>
      <c r="V487" s="378"/>
      <c r="W487" s="378"/>
      <c r="X487" s="379"/>
      <c r="Y487" s="154"/>
      <c r="Z487" s="147"/>
      <c r="AA487" s="147"/>
      <c r="AB487" s="148"/>
      <c r="AC487" s="678"/>
      <c r="AD487" s="679"/>
      <c r="AE487" s="679"/>
      <c r="AF487" s="680"/>
      <c r="AI487" s="109" t="str">
        <f>"2B:field221:" &amp; IF(I487="■",1,IF(L487="■",2,0))</f>
        <v>2B:field221:0</v>
      </c>
    </row>
    <row r="488" spans="1:37" ht="18.75" customHeight="1" x14ac:dyDescent="0.2">
      <c r="A488" s="139"/>
      <c r="B488" s="123"/>
      <c r="C488" s="140"/>
      <c r="D488" s="141"/>
      <c r="E488" s="128"/>
      <c r="F488" s="142"/>
      <c r="G488" s="128"/>
      <c r="H488" s="737"/>
      <c r="I488" s="747"/>
      <c r="J488" s="746"/>
      <c r="K488" s="746"/>
      <c r="L488" s="747"/>
      <c r="M488" s="746"/>
      <c r="N488" s="746"/>
      <c r="O488" s="384"/>
      <c r="P488" s="384"/>
      <c r="Q488" s="384"/>
      <c r="R488" s="384"/>
      <c r="S488" s="384"/>
      <c r="T488" s="384"/>
      <c r="U488" s="384"/>
      <c r="V488" s="384"/>
      <c r="W488" s="384"/>
      <c r="X488" s="385"/>
      <c r="Y488" s="154"/>
      <c r="Z488" s="147"/>
      <c r="AA488" s="147"/>
      <c r="AB488" s="148"/>
      <c r="AC488" s="678"/>
      <c r="AD488" s="679"/>
      <c r="AE488" s="679"/>
      <c r="AF488" s="680"/>
    </row>
    <row r="489" spans="1:37" s="621" customFormat="1" ht="22.2" customHeight="1" x14ac:dyDescent="0.2">
      <c r="A489" s="139"/>
      <c r="B489" s="670"/>
      <c r="C489" s="140"/>
      <c r="D489" s="141"/>
      <c r="E489" s="128"/>
      <c r="F489" s="142"/>
      <c r="G489" s="143"/>
      <c r="H489" s="713" t="s">
        <v>790</v>
      </c>
      <c r="I489" s="642" t="s">
        <v>383</v>
      </c>
      <c r="J489" s="616" t="s">
        <v>627</v>
      </c>
      <c r="K489" s="616"/>
      <c r="L489" s="615"/>
      <c r="M489" s="644" t="s">
        <v>383</v>
      </c>
      <c r="N489" s="616" t="s">
        <v>791</v>
      </c>
      <c r="O489" s="617"/>
      <c r="P489" s="615"/>
      <c r="Q489" s="644" t="s">
        <v>383</v>
      </c>
      <c r="R489" s="618" t="s">
        <v>792</v>
      </c>
      <c r="S489" s="615"/>
      <c r="T489" s="615"/>
      <c r="U489" s="615"/>
      <c r="V489" s="618"/>
      <c r="W489" s="619"/>
      <c r="X489" s="620"/>
      <c r="Y489" s="154"/>
      <c r="Z489" s="147"/>
      <c r="AA489" s="147"/>
      <c r="AB489" s="148"/>
      <c r="AC489" s="678"/>
      <c r="AD489" s="679"/>
      <c r="AE489" s="679"/>
      <c r="AF489" s="680"/>
    </row>
    <row r="490" spans="1:37" s="621" customFormat="1" ht="21" customHeight="1" x14ac:dyDescent="0.2">
      <c r="A490" s="139"/>
      <c r="B490" s="670"/>
      <c r="C490" s="140"/>
      <c r="D490" s="141"/>
      <c r="E490" s="128"/>
      <c r="F490" s="142"/>
      <c r="G490" s="143"/>
      <c r="H490" s="1002"/>
      <c r="I490" s="629" t="s">
        <v>383</v>
      </c>
      <c r="J490" s="987" t="s">
        <v>793</v>
      </c>
      <c r="K490" s="987"/>
      <c r="L490" s="1003"/>
      <c r="M490" s="629" t="s">
        <v>383</v>
      </c>
      <c r="N490" s="987" t="s">
        <v>794</v>
      </c>
      <c r="O490" s="1004"/>
      <c r="P490" s="1003"/>
      <c r="Q490" s="629" t="s">
        <v>383</v>
      </c>
      <c r="R490" s="987" t="s">
        <v>795</v>
      </c>
      <c r="S490" s="1003"/>
      <c r="T490" s="987"/>
      <c r="U490" s="629" t="s">
        <v>383</v>
      </c>
      <c r="V490" s="987" t="s">
        <v>796</v>
      </c>
      <c r="W490" s="1005"/>
      <c r="X490" s="1006"/>
      <c r="Y490" s="154"/>
      <c r="Z490" s="147"/>
      <c r="AA490" s="147"/>
      <c r="AB490" s="148"/>
      <c r="AC490" s="678"/>
      <c r="AD490" s="679"/>
      <c r="AE490" s="679"/>
      <c r="AF490" s="680"/>
    </row>
    <row r="491" spans="1:37" ht="18.75" customHeight="1" x14ac:dyDescent="0.2">
      <c r="A491" s="129"/>
      <c r="B491" s="656"/>
      <c r="C491" s="659"/>
      <c r="D491" s="132"/>
      <c r="E491" s="121"/>
      <c r="F491" s="132"/>
      <c r="G491" s="121"/>
      <c r="H491" s="456" t="s">
        <v>93</v>
      </c>
      <c r="I491" s="412" t="s">
        <v>383</v>
      </c>
      <c r="J491" s="368" t="s">
        <v>250</v>
      </c>
      <c r="K491" s="368"/>
      <c r="L491" s="370"/>
      <c r="M491" s="371" t="s">
        <v>383</v>
      </c>
      <c r="N491" s="368" t="s">
        <v>281</v>
      </c>
      <c r="O491" s="368"/>
      <c r="P491" s="370"/>
      <c r="Q491" s="371" t="s">
        <v>383</v>
      </c>
      <c r="R491" s="457" t="s">
        <v>282</v>
      </c>
      <c r="S491" s="457"/>
      <c r="T491" s="369"/>
      <c r="U491" s="369"/>
      <c r="V491" s="369"/>
      <c r="W491" s="369"/>
      <c r="X491" s="421"/>
      <c r="Y491" s="663" t="s">
        <v>383</v>
      </c>
      <c r="Z491" s="119" t="s">
        <v>249</v>
      </c>
      <c r="AA491" s="119"/>
      <c r="AB491" s="137"/>
      <c r="AC491" s="665" t="s">
        <v>383</v>
      </c>
      <c r="AD491" s="119" t="s">
        <v>249</v>
      </c>
      <c r="AE491" s="119"/>
      <c r="AF491" s="137"/>
      <c r="AG491" s="109" t="str">
        <f>"ser_code = '" &amp; IF(A497="■",35,"") &amp; "'"</f>
        <v>ser_code = ''</v>
      </c>
      <c r="AH491" s="109" t="str">
        <f>"35:jininkbn_code:"&amp;IF(F496="■",1,IF(F497="■",2,0))</f>
        <v>35:jininkbn_code:0</v>
      </c>
      <c r="AI491" s="109" t="str">
        <f>"35:"&amp;IF(AND(I491="□",M491="□",Q491="□"),"ketu_kangos_code:0",IF(I491="■","ketu_kangos_code:1:ketu_kshoku_code:1",IF(M491="■","ketu_kangos_code:2","ketu_kangos_code:1")&amp;IF(Q491="■",":ketu_kshoku_code:2",":ketu_kshoku_code:1")))</f>
        <v>35:ketu_kangos_code:0</v>
      </c>
      <c r="AJ491" s="109" t="str">
        <f>"35:field203:" &amp; IF(Y491="■",1,IF(Y492="■",2,0))</f>
        <v>35:field203:0</v>
      </c>
      <c r="AK491" s="109" t="str">
        <f>"35:waribiki_code:" &amp; IF(AC491="■",1,IF(AC492="■",2,0))</f>
        <v>35:waribiki_code:0</v>
      </c>
    </row>
    <row r="492" spans="1:37" ht="18.75" customHeight="1" x14ac:dyDescent="0.2">
      <c r="A492" s="139"/>
      <c r="B492" s="670"/>
      <c r="C492" s="660"/>
      <c r="D492" s="142"/>
      <c r="E492" s="128"/>
      <c r="F492" s="142"/>
      <c r="G492" s="128"/>
      <c r="H492" s="458" t="s">
        <v>185</v>
      </c>
      <c r="I492" s="654" t="s">
        <v>383</v>
      </c>
      <c r="J492" s="350" t="s">
        <v>395</v>
      </c>
      <c r="K492" s="351"/>
      <c r="L492" s="352"/>
      <c r="M492" s="353" t="s">
        <v>383</v>
      </c>
      <c r="N492" s="350" t="s">
        <v>396</v>
      </c>
      <c r="O492" s="355"/>
      <c r="P492" s="355"/>
      <c r="Q492" s="350"/>
      <c r="R492" s="350"/>
      <c r="S492" s="350"/>
      <c r="T492" s="350"/>
      <c r="U492" s="350"/>
      <c r="V492" s="350"/>
      <c r="W492" s="350"/>
      <c r="X492" s="459"/>
      <c r="Y492" s="629" t="s">
        <v>383</v>
      </c>
      <c r="Z492" s="614" t="s">
        <v>255</v>
      </c>
      <c r="AA492" s="627"/>
      <c r="AB492" s="148"/>
      <c r="AC492" s="629" t="s">
        <v>383</v>
      </c>
      <c r="AD492" s="614" t="s">
        <v>255</v>
      </c>
      <c r="AE492" s="627"/>
      <c r="AF492" s="148"/>
      <c r="AG492" s="109" t="str">
        <f>"35:sisetukbn_code:" &amp; IF(D496="■",1,IF(D497="■",2,IF(D498="■",3,0)))</f>
        <v>35:sisetukbn_code:0</v>
      </c>
      <c r="AH492" s="109"/>
      <c r="AI492" s="109" t="str">
        <f>"35:sintaikousoku_code:" &amp; IF(I492="■",1,IF(M492="■",2,0))</f>
        <v>35:sintaikousoku_code:0</v>
      </c>
      <c r="AJ492" s="109"/>
      <c r="AK492" s="109"/>
    </row>
    <row r="493" spans="1:37" ht="19.5" customHeight="1" x14ac:dyDescent="0.2">
      <c r="A493" s="139"/>
      <c r="B493" s="670"/>
      <c r="C493" s="140"/>
      <c r="D493" s="141"/>
      <c r="E493" s="128"/>
      <c r="F493" s="142"/>
      <c r="G493" s="143"/>
      <c r="H493" s="348" t="s">
        <v>430</v>
      </c>
      <c r="I493" s="654" t="s">
        <v>383</v>
      </c>
      <c r="J493" s="350" t="s">
        <v>395</v>
      </c>
      <c r="K493" s="351"/>
      <c r="L493" s="352"/>
      <c r="M493" s="353" t="s">
        <v>383</v>
      </c>
      <c r="N493" s="350" t="s">
        <v>431</v>
      </c>
      <c r="O493" s="355"/>
      <c r="P493" s="350"/>
      <c r="Q493" s="355"/>
      <c r="R493" s="355"/>
      <c r="S493" s="355"/>
      <c r="T493" s="355"/>
      <c r="U493" s="355"/>
      <c r="V493" s="355"/>
      <c r="W493" s="355"/>
      <c r="X493" s="356"/>
      <c r="Y493" s="627"/>
      <c r="Z493" s="627"/>
      <c r="AA493" s="627"/>
      <c r="AB493" s="148"/>
      <c r="AC493" s="154"/>
      <c r="AD493" s="627"/>
      <c r="AE493" s="627"/>
      <c r="AF493" s="148"/>
      <c r="AI493" s="109" t="str">
        <f>"35:field223:" &amp; IF(I493="■",1,IF(M493="■",2,0))</f>
        <v>35:field223:0</v>
      </c>
    </row>
    <row r="494" spans="1:37" ht="19.5" customHeight="1" x14ac:dyDescent="0.2">
      <c r="A494" s="139"/>
      <c r="B494" s="670"/>
      <c r="C494" s="140"/>
      <c r="D494" s="141"/>
      <c r="E494" s="128"/>
      <c r="F494" s="142"/>
      <c r="G494" s="143"/>
      <c r="H494" s="348" t="s">
        <v>448</v>
      </c>
      <c r="I494" s="654" t="s">
        <v>383</v>
      </c>
      <c r="J494" s="350" t="s">
        <v>395</v>
      </c>
      <c r="K494" s="351"/>
      <c r="L494" s="352"/>
      <c r="M494" s="353" t="s">
        <v>383</v>
      </c>
      <c r="N494" s="350" t="s">
        <v>431</v>
      </c>
      <c r="O494" s="355"/>
      <c r="P494" s="350"/>
      <c r="Q494" s="355"/>
      <c r="R494" s="355"/>
      <c r="S494" s="355"/>
      <c r="T494" s="355"/>
      <c r="U494" s="355"/>
      <c r="V494" s="355"/>
      <c r="W494" s="355"/>
      <c r="X494" s="356"/>
      <c r="Y494" s="627"/>
      <c r="Z494" s="627"/>
      <c r="AA494" s="627"/>
      <c r="AB494" s="148"/>
      <c r="AC494" s="154"/>
      <c r="AD494" s="627"/>
      <c r="AE494" s="627"/>
      <c r="AF494" s="148"/>
      <c r="AI494" s="109" t="str">
        <f>"35:field232:" &amp; IF(I494="■",1,IF(M494="■",2,0))</f>
        <v>35:field232:0</v>
      </c>
    </row>
    <row r="495" spans="1:37" ht="18.75" customHeight="1" x14ac:dyDescent="0.2">
      <c r="A495" s="139"/>
      <c r="B495" s="670"/>
      <c r="C495" s="660"/>
      <c r="D495" s="142"/>
      <c r="E495" s="128"/>
      <c r="F495" s="142"/>
      <c r="G495" s="128"/>
      <c r="H495" s="461" t="s">
        <v>183</v>
      </c>
      <c r="I495" s="654" t="s">
        <v>383</v>
      </c>
      <c r="J495" s="350" t="s">
        <v>250</v>
      </c>
      <c r="K495" s="350"/>
      <c r="L495" s="353" t="s">
        <v>383</v>
      </c>
      <c r="M495" s="350" t="s">
        <v>268</v>
      </c>
      <c r="N495" s="350"/>
      <c r="O495" s="353" t="s">
        <v>383</v>
      </c>
      <c r="P495" s="350" t="s">
        <v>269</v>
      </c>
      <c r="Q495" s="350"/>
      <c r="R495" s="350"/>
      <c r="S495" s="350"/>
      <c r="T495" s="350"/>
      <c r="U495" s="350"/>
      <c r="V495" s="350"/>
      <c r="W495" s="350"/>
      <c r="X495" s="459"/>
      <c r="Y495" s="154"/>
      <c r="Z495" s="627"/>
      <c r="AA495" s="627"/>
      <c r="AB495" s="148"/>
      <c r="AC495" s="154"/>
      <c r="AD495" s="627"/>
      <c r="AE495" s="627"/>
      <c r="AF495" s="148"/>
      <c r="AI495" s="109" t="str">
        <f>"35:field185:" &amp; IF(I495="■",1,IF(L495="■",3,IF(O495="■",2,0)))</f>
        <v>35:field185:0</v>
      </c>
    </row>
    <row r="496" spans="1:37" ht="18.75" customHeight="1" x14ac:dyDescent="0.2">
      <c r="A496" s="139"/>
      <c r="B496" s="670"/>
      <c r="C496" s="660"/>
      <c r="D496" s="664" t="s">
        <v>383</v>
      </c>
      <c r="E496" s="128" t="s">
        <v>505</v>
      </c>
      <c r="F496" s="664" t="s">
        <v>383</v>
      </c>
      <c r="G496" s="128" t="s">
        <v>392</v>
      </c>
      <c r="H496" s="461" t="s">
        <v>234</v>
      </c>
      <c r="I496" s="654" t="s">
        <v>383</v>
      </c>
      <c r="J496" s="350" t="s">
        <v>250</v>
      </c>
      <c r="K496" s="351"/>
      <c r="L496" s="353" t="s">
        <v>383</v>
      </c>
      <c r="M496" s="350" t="s">
        <v>267</v>
      </c>
      <c r="N496" s="350"/>
      <c r="O496" s="350"/>
      <c r="P496" s="350"/>
      <c r="Q496" s="350"/>
      <c r="R496" s="350"/>
      <c r="S496" s="350"/>
      <c r="T496" s="350"/>
      <c r="U496" s="350"/>
      <c r="V496" s="350"/>
      <c r="W496" s="350"/>
      <c r="X496" s="459"/>
      <c r="Y496" s="154"/>
      <c r="Z496" s="627"/>
      <c r="AA496" s="627"/>
      <c r="AB496" s="148"/>
      <c r="AC496" s="154"/>
      <c r="AD496" s="627"/>
      <c r="AE496" s="627"/>
      <c r="AF496" s="148"/>
      <c r="AG496" s="289"/>
      <c r="AI496" s="109" t="str">
        <f>"35:kobetu_kunren_code:" &amp; IF(I496="■",1,IF(L496="■",2,0))</f>
        <v>35:kobetu_kunren_code:0</v>
      </c>
    </row>
    <row r="497" spans="1:36" ht="18.75" customHeight="1" x14ac:dyDescent="0.2">
      <c r="A497" s="664" t="s">
        <v>383</v>
      </c>
      <c r="B497" s="670">
        <v>35</v>
      </c>
      <c r="C497" s="660" t="s">
        <v>506</v>
      </c>
      <c r="D497" s="664" t="s">
        <v>383</v>
      </c>
      <c r="E497" s="128" t="s">
        <v>507</v>
      </c>
      <c r="F497" s="664" t="s">
        <v>383</v>
      </c>
      <c r="G497" s="128" t="s">
        <v>393</v>
      </c>
      <c r="H497" s="458" t="s">
        <v>186</v>
      </c>
      <c r="I497" s="654" t="s">
        <v>383</v>
      </c>
      <c r="J497" s="350" t="s">
        <v>250</v>
      </c>
      <c r="K497" s="351"/>
      <c r="L497" s="353" t="s">
        <v>383</v>
      </c>
      <c r="M497" s="350" t="s">
        <v>267</v>
      </c>
      <c r="N497" s="350"/>
      <c r="O497" s="350"/>
      <c r="P497" s="350"/>
      <c r="Q497" s="350"/>
      <c r="R497" s="350"/>
      <c r="S497" s="350"/>
      <c r="T497" s="350"/>
      <c r="U497" s="350"/>
      <c r="V497" s="350"/>
      <c r="W497" s="350"/>
      <c r="X497" s="459"/>
      <c r="Y497" s="154"/>
      <c r="Z497" s="627"/>
      <c r="AA497" s="627"/>
      <c r="AB497" s="148"/>
      <c r="AC497" s="154"/>
      <c r="AD497" s="627"/>
      <c r="AE497" s="627"/>
      <c r="AF497" s="148"/>
      <c r="AI497" s="109" t="str">
        <f>"35:jyakuninti_uke_code:" &amp; IF(I497="■",1,IF(L497="■",2,0))</f>
        <v>35:jyakuninti_uke_code:0</v>
      </c>
    </row>
    <row r="498" spans="1:36" ht="18.75" customHeight="1" x14ac:dyDescent="0.2">
      <c r="A498" s="139"/>
      <c r="B498" s="670"/>
      <c r="C498" s="660" t="s">
        <v>508</v>
      </c>
      <c r="D498" s="664" t="s">
        <v>383</v>
      </c>
      <c r="E498" s="128" t="s">
        <v>509</v>
      </c>
      <c r="F498" s="142"/>
      <c r="G498" s="128" t="s">
        <v>394</v>
      </c>
      <c r="H498" s="461" t="s">
        <v>197</v>
      </c>
      <c r="I498" s="654" t="s">
        <v>383</v>
      </c>
      <c r="J498" s="350" t="s">
        <v>250</v>
      </c>
      <c r="K498" s="351"/>
      <c r="L498" s="353" t="s">
        <v>383</v>
      </c>
      <c r="M498" s="350" t="s">
        <v>267</v>
      </c>
      <c r="N498" s="350"/>
      <c r="O498" s="350"/>
      <c r="P498" s="350"/>
      <c r="Q498" s="350"/>
      <c r="R498" s="350"/>
      <c r="S498" s="350"/>
      <c r="T498" s="350"/>
      <c r="U498" s="350"/>
      <c r="V498" s="350"/>
      <c r="W498" s="350"/>
      <c r="X498" s="459"/>
      <c r="Y498" s="154"/>
      <c r="Z498" s="627"/>
      <c r="AA498" s="627"/>
      <c r="AB498" s="148"/>
      <c r="AC498" s="154"/>
      <c r="AD498" s="627"/>
      <c r="AE498" s="627"/>
      <c r="AF498" s="148"/>
      <c r="AI498" s="109" t="str">
        <f>"35:field212:" &amp; IF(I498="■",1,IF(L498="■",2,0))</f>
        <v>35:field212:0</v>
      </c>
    </row>
    <row r="499" spans="1:36" ht="18.75" customHeight="1" x14ac:dyDescent="0.2">
      <c r="A499" s="139"/>
      <c r="B499" s="670"/>
      <c r="C499" s="660"/>
      <c r="D499" s="141"/>
      <c r="E499" s="128"/>
      <c r="F499" s="142"/>
      <c r="G499" s="143"/>
      <c r="H499" s="458" t="s">
        <v>116</v>
      </c>
      <c r="I499" s="654" t="s">
        <v>383</v>
      </c>
      <c r="J499" s="350" t="s">
        <v>250</v>
      </c>
      <c r="K499" s="350"/>
      <c r="L499" s="353" t="s">
        <v>383</v>
      </c>
      <c r="M499" s="350" t="s">
        <v>251</v>
      </c>
      <c r="N499" s="350"/>
      <c r="O499" s="353" t="s">
        <v>383</v>
      </c>
      <c r="P499" s="350" t="s">
        <v>252</v>
      </c>
      <c r="Q499" s="351"/>
      <c r="R499" s="351"/>
      <c r="S499" s="351"/>
      <c r="T499" s="351"/>
      <c r="U499" s="351"/>
      <c r="V499" s="351"/>
      <c r="W499" s="351"/>
      <c r="X499" s="365"/>
      <c r="Y499" s="154"/>
      <c r="Z499" s="627"/>
      <c r="AA499" s="627"/>
      <c r="AB499" s="148"/>
      <c r="AC499" s="154"/>
      <c r="AD499" s="627"/>
      <c r="AE499" s="627"/>
      <c r="AF499" s="148"/>
      <c r="AI499" s="109" t="str">
        <f>"35:ninti_senmoncare_code:" &amp; IF(I499="■",1,IF(O499="■",3,IF(L499="■",2,0)))</f>
        <v>35:ninti_senmoncare_code:0</v>
      </c>
    </row>
    <row r="500" spans="1:36" ht="18.75" customHeight="1" x14ac:dyDescent="0.2">
      <c r="A500" s="139"/>
      <c r="B500" s="670"/>
      <c r="C500" s="660"/>
      <c r="D500" s="141"/>
      <c r="E500" s="128"/>
      <c r="F500" s="142"/>
      <c r="G500" s="143"/>
      <c r="H500" s="672" t="s">
        <v>461</v>
      </c>
      <c r="I500" s="654" t="s">
        <v>383</v>
      </c>
      <c r="J500" s="350" t="s">
        <v>250</v>
      </c>
      <c r="K500" s="350"/>
      <c r="L500" s="353" t="s">
        <v>383</v>
      </c>
      <c r="M500" s="381" t="s">
        <v>267</v>
      </c>
      <c r="N500" s="350"/>
      <c r="O500" s="350"/>
      <c r="P500" s="350"/>
      <c r="Q500" s="351"/>
      <c r="R500" s="351"/>
      <c r="S500" s="351"/>
      <c r="T500" s="351"/>
      <c r="U500" s="351"/>
      <c r="V500" s="351"/>
      <c r="W500" s="351"/>
      <c r="X500" s="365"/>
      <c r="Y500" s="154"/>
      <c r="Z500" s="627"/>
      <c r="AA500" s="627"/>
      <c r="AB500" s="148"/>
      <c r="AC500" s="154"/>
      <c r="AD500" s="627"/>
      <c r="AE500" s="627"/>
      <c r="AF500" s="148"/>
      <c r="AI500" s="109" t="str">
        <f>"35:field226:" &amp; IF(I500="■",1,IF(L500="■",2,0))</f>
        <v>35:field226:0</v>
      </c>
    </row>
    <row r="501" spans="1:36" ht="18.75" customHeight="1" x14ac:dyDescent="0.2">
      <c r="A501" s="139"/>
      <c r="B501" s="670"/>
      <c r="C501" s="140"/>
      <c r="D501" s="141"/>
      <c r="E501" s="128"/>
      <c r="F501" s="142"/>
      <c r="G501" s="143"/>
      <c r="H501" s="672" t="s">
        <v>462</v>
      </c>
      <c r="I501" s="654" t="s">
        <v>383</v>
      </c>
      <c r="J501" s="350" t="s">
        <v>250</v>
      </c>
      <c r="K501" s="350"/>
      <c r="L501" s="353" t="s">
        <v>383</v>
      </c>
      <c r="M501" s="381" t="s">
        <v>267</v>
      </c>
      <c r="N501" s="350"/>
      <c r="O501" s="350"/>
      <c r="P501" s="350"/>
      <c r="Q501" s="351"/>
      <c r="R501" s="351"/>
      <c r="S501" s="351"/>
      <c r="T501" s="351"/>
      <c r="U501" s="351"/>
      <c r="V501" s="351"/>
      <c r="W501" s="351"/>
      <c r="X501" s="365"/>
      <c r="Y501" s="154"/>
      <c r="Z501" s="627"/>
      <c r="AA501" s="627"/>
      <c r="AB501" s="148"/>
      <c r="AC501" s="154"/>
      <c r="AD501" s="627"/>
      <c r="AE501" s="627"/>
      <c r="AF501" s="148"/>
      <c r="AI501" s="109" t="str">
        <f>"35:field227:" &amp; IF(I501="■",1,IF(L501="■",2,0))</f>
        <v>35:field227:0</v>
      </c>
    </row>
    <row r="502" spans="1:36" ht="18.75" customHeight="1" x14ac:dyDescent="0.2">
      <c r="A502" s="139"/>
      <c r="B502" s="670"/>
      <c r="C502" s="140"/>
      <c r="D502" s="141"/>
      <c r="E502" s="128"/>
      <c r="F502" s="142"/>
      <c r="G502" s="143"/>
      <c r="H502" s="435" t="s">
        <v>442</v>
      </c>
      <c r="I502" s="654" t="s">
        <v>383</v>
      </c>
      <c r="J502" s="350" t="s">
        <v>250</v>
      </c>
      <c r="K502" s="350"/>
      <c r="L502" s="353" t="s">
        <v>383</v>
      </c>
      <c r="M502" s="350" t="s">
        <v>251</v>
      </c>
      <c r="N502" s="350"/>
      <c r="O502" s="353" t="s">
        <v>383</v>
      </c>
      <c r="P502" s="350" t="s">
        <v>252</v>
      </c>
      <c r="Q502" s="355"/>
      <c r="R502" s="355"/>
      <c r="S502" s="355"/>
      <c r="T502" s="355"/>
      <c r="U502" s="410"/>
      <c r="V502" s="410"/>
      <c r="W502" s="410"/>
      <c r="X502" s="411"/>
      <c r="Y502" s="154"/>
      <c r="Z502" s="627"/>
      <c r="AA502" s="627"/>
      <c r="AB502" s="148"/>
      <c r="AC502" s="154"/>
      <c r="AD502" s="627"/>
      <c r="AE502" s="627"/>
      <c r="AF502" s="148"/>
      <c r="AI502" s="109" t="str">
        <f>"35:field225:" &amp; IF(I502="■",1,IF(L502="■",2,IF(O502="■",3,0)))</f>
        <v>35:field225:0</v>
      </c>
    </row>
    <row r="503" spans="1:36" ht="18.75" customHeight="1" x14ac:dyDescent="0.2">
      <c r="A503" s="139"/>
      <c r="B503" s="670"/>
      <c r="C503" s="140"/>
      <c r="D503" s="141"/>
      <c r="E503" s="128"/>
      <c r="F503" s="142"/>
      <c r="G503" s="143"/>
      <c r="H503" s="439" t="s">
        <v>187</v>
      </c>
      <c r="I503" s="654" t="s">
        <v>383</v>
      </c>
      <c r="J503" s="350" t="s">
        <v>250</v>
      </c>
      <c r="K503" s="350"/>
      <c r="L503" s="353" t="s">
        <v>383</v>
      </c>
      <c r="M503" s="350" t="s">
        <v>258</v>
      </c>
      <c r="N503" s="350"/>
      <c r="O503" s="353" t="s">
        <v>383</v>
      </c>
      <c r="P503" s="350" t="s">
        <v>269</v>
      </c>
      <c r="Q503" s="666"/>
      <c r="R503" s="353" t="s">
        <v>383</v>
      </c>
      <c r="S503" s="350" t="s">
        <v>283</v>
      </c>
      <c r="T503" s="350"/>
      <c r="U503" s="350"/>
      <c r="V503" s="350"/>
      <c r="W503" s="350"/>
      <c r="X503" s="459"/>
      <c r="Y503" s="154"/>
      <c r="Z503" s="627"/>
      <c r="AA503" s="627"/>
      <c r="AB503" s="148"/>
      <c r="AC503" s="154"/>
      <c r="AD503" s="627"/>
      <c r="AE503" s="627"/>
      <c r="AF503" s="148"/>
      <c r="AI503" s="109" t="str">
        <f>"35:serteikyo_kyoka_code:" &amp; IF(I503="■",1,IF(L503="■",6,IF(O503="■",2,IF(R503="■",7,0))))</f>
        <v>35:serteikyo_kyoka_code:0</v>
      </c>
    </row>
    <row r="504" spans="1:36" s="621" customFormat="1" ht="22.2" customHeight="1" x14ac:dyDescent="0.2">
      <c r="A504" s="139"/>
      <c r="B504" s="670"/>
      <c r="C504" s="140"/>
      <c r="D504" s="141"/>
      <c r="E504" s="128"/>
      <c r="F504" s="142"/>
      <c r="G504" s="143"/>
      <c r="H504" s="713" t="s">
        <v>790</v>
      </c>
      <c r="I504" s="642" t="s">
        <v>383</v>
      </c>
      <c r="J504" s="616" t="s">
        <v>627</v>
      </c>
      <c r="K504" s="616"/>
      <c r="L504" s="615"/>
      <c r="M504" s="644" t="s">
        <v>383</v>
      </c>
      <c r="N504" s="616" t="s">
        <v>791</v>
      </c>
      <c r="O504" s="617"/>
      <c r="P504" s="615"/>
      <c r="Q504" s="644" t="s">
        <v>383</v>
      </c>
      <c r="R504" s="987" t="s">
        <v>792</v>
      </c>
      <c r="S504" s="615"/>
      <c r="T504" s="615"/>
      <c r="U504" s="615"/>
      <c r="V504" s="987"/>
      <c r="W504" s="619"/>
      <c r="X504" s="620"/>
      <c r="Y504" s="154"/>
      <c r="Z504" s="627"/>
      <c r="AA504" s="627"/>
      <c r="AB504" s="148"/>
      <c r="AC504" s="154"/>
      <c r="AD504" s="627"/>
      <c r="AE504" s="627"/>
      <c r="AF504" s="148"/>
    </row>
    <row r="505" spans="1:36" s="621" customFormat="1" ht="21" customHeight="1" x14ac:dyDescent="0.2">
      <c r="A505" s="183"/>
      <c r="B505" s="658"/>
      <c r="C505" s="185"/>
      <c r="D505" s="186"/>
      <c r="E505" s="187"/>
      <c r="F505" s="188"/>
      <c r="G505" s="189"/>
      <c r="H505" s="714"/>
      <c r="I505" s="211" t="s">
        <v>383</v>
      </c>
      <c r="J505" s="623" t="s">
        <v>793</v>
      </c>
      <c r="K505" s="623"/>
      <c r="L505" s="622"/>
      <c r="M505" s="211" t="s">
        <v>383</v>
      </c>
      <c r="N505" s="623" t="s">
        <v>794</v>
      </c>
      <c r="O505" s="624"/>
      <c r="P505" s="622"/>
      <c r="Q505" s="211" t="s">
        <v>383</v>
      </c>
      <c r="R505" s="623" t="s">
        <v>795</v>
      </c>
      <c r="S505" s="622"/>
      <c r="T505" s="623"/>
      <c r="U505" s="211" t="s">
        <v>383</v>
      </c>
      <c r="V505" s="623" t="s">
        <v>796</v>
      </c>
      <c r="W505" s="625"/>
      <c r="X505" s="626"/>
      <c r="Y505" s="194"/>
      <c r="Z505" s="192"/>
      <c r="AA505" s="192"/>
      <c r="AB505" s="193"/>
      <c r="AC505" s="194"/>
      <c r="AD505" s="192"/>
      <c r="AE505" s="192"/>
      <c r="AF505" s="193"/>
    </row>
    <row r="506" spans="1:36" s="109" customFormat="1" ht="19.5" customHeight="1" x14ac:dyDescent="0.2">
      <c r="A506" s="139"/>
      <c r="B506" s="670"/>
      <c r="C506" s="140"/>
      <c r="D506" s="141"/>
      <c r="E506" s="128"/>
      <c r="F506" s="142"/>
      <c r="G506" s="143"/>
      <c r="H506" s="465" t="s">
        <v>448</v>
      </c>
      <c r="I506" s="651" t="s">
        <v>383</v>
      </c>
      <c r="J506" s="381" t="s">
        <v>395</v>
      </c>
      <c r="K506" s="419"/>
      <c r="L506" s="382"/>
      <c r="M506" s="652" t="s">
        <v>383</v>
      </c>
      <c r="N506" s="381" t="s">
        <v>431</v>
      </c>
      <c r="O506" s="653"/>
      <c r="P506" s="381"/>
      <c r="Q506" s="436"/>
      <c r="R506" s="436"/>
      <c r="S506" s="436"/>
      <c r="T506" s="436"/>
      <c r="U506" s="436"/>
      <c r="V506" s="436"/>
      <c r="W506" s="436"/>
      <c r="X506" s="437"/>
      <c r="Y506" s="125" t="s">
        <v>383</v>
      </c>
      <c r="Z506" s="126" t="s">
        <v>510</v>
      </c>
      <c r="AA506" s="126"/>
      <c r="AB506" s="148"/>
      <c r="AC506" s="757"/>
      <c r="AD506" s="758"/>
      <c r="AE506" s="758"/>
      <c r="AF506" s="759"/>
      <c r="AG506" s="109" t="str">
        <f>"ser_code = '" &amp; IF(A508="■",67,"") &amp; "'"</f>
        <v>ser_code = ''</v>
      </c>
      <c r="AI506" s="109" t="str">
        <f>"67:field232:" &amp; IF(I506="■",1,IF(M506="■",2,0))</f>
        <v>67:field232:0</v>
      </c>
      <c r="AJ506" s="109" t="str">
        <f>"67:field203:" &amp; IF(Y506="■",1,IF(Y507="■",2,0))</f>
        <v>67:field203:0</v>
      </c>
    </row>
    <row r="507" spans="1:36" ht="18.75" customHeight="1" x14ac:dyDescent="0.2">
      <c r="A507" s="139"/>
      <c r="B507" s="123"/>
      <c r="C507" s="140"/>
      <c r="D507" s="141"/>
      <c r="E507" s="143"/>
      <c r="F507" s="141"/>
      <c r="G507" s="143"/>
      <c r="H507" s="291" t="s">
        <v>90</v>
      </c>
      <c r="I507" s="150" t="s">
        <v>781</v>
      </c>
      <c r="J507" s="169" t="s">
        <v>250</v>
      </c>
      <c r="K507" s="179"/>
      <c r="L507" s="203" t="s">
        <v>383</v>
      </c>
      <c r="M507" s="169" t="s">
        <v>267</v>
      </c>
      <c r="N507" s="179"/>
      <c r="O507" s="179"/>
      <c r="P507" s="179"/>
      <c r="Q507" s="179"/>
      <c r="R507" s="179"/>
      <c r="S507" s="179"/>
      <c r="T507" s="179"/>
      <c r="U507" s="179"/>
      <c r="V507" s="179"/>
      <c r="W507" s="179"/>
      <c r="X507" s="180"/>
      <c r="Y507" s="118" t="s">
        <v>383</v>
      </c>
      <c r="Z507" s="126" t="s">
        <v>255</v>
      </c>
      <c r="AA507" s="147"/>
      <c r="AB507" s="148"/>
      <c r="AC507" s="760"/>
      <c r="AD507" s="758"/>
      <c r="AE507" s="758"/>
      <c r="AF507" s="759"/>
      <c r="AG507" s="109"/>
      <c r="AH507" s="109"/>
      <c r="AI507" s="109" t="str">
        <f>"67:tokutiiki_code:" &amp; IF(I507="■",1,IF(L507="■",2,0))</f>
        <v>67:tokutiiki_code:1</v>
      </c>
      <c r="AJ507" s="109"/>
    </row>
    <row r="508" spans="1:36" ht="18.75" customHeight="1" x14ac:dyDescent="0.2">
      <c r="A508" s="125" t="s">
        <v>383</v>
      </c>
      <c r="B508" s="123">
        <v>67</v>
      </c>
      <c r="C508" s="140" t="s">
        <v>511</v>
      </c>
      <c r="D508" s="141"/>
      <c r="E508" s="143"/>
      <c r="F508" s="141"/>
      <c r="G508" s="143"/>
      <c r="H508" s="834" t="s">
        <v>478</v>
      </c>
      <c r="I508" s="707" t="s">
        <v>781</v>
      </c>
      <c r="J508" s="708" t="s">
        <v>256</v>
      </c>
      <c r="K508" s="708"/>
      <c r="L508" s="708"/>
      <c r="M508" s="707" t="s">
        <v>383</v>
      </c>
      <c r="N508" s="708" t="s">
        <v>257</v>
      </c>
      <c r="O508" s="708"/>
      <c r="P508" s="708"/>
      <c r="Q508" s="251"/>
      <c r="R508" s="251"/>
      <c r="S508" s="251"/>
      <c r="T508" s="251"/>
      <c r="U508" s="251"/>
      <c r="V508" s="251"/>
      <c r="W508" s="251"/>
      <c r="X508" s="252"/>
      <c r="Y508" s="154"/>
      <c r="Z508" s="126"/>
      <c r="AA508" s="147"/>
      <c r="AB508" s="148"/>
      <c r="AC508" s="760"/>
      <c r="AD508" s="758"/>
      <c r="AE508" s="758"/>
      <c r="AF508" s="759"/>
      <c r="AG508" s="109"/>
      <c r="AH508" s="109"/>
      <c r="AI508" s="109" t="str">
        <f>"67:chuusankanti_tiiki_code:" &amp; IF(I508="■",1,IF(M508="■",2,0))</f>
        <v>67:chuusankanti_tiiki_code:1</v>
      </c>
      <c r="AJ508" s="109"/>
    </row>
    <row r="509" spans="1:36" ht="18.75" customHeight="1" x14ac:dyDescent="0.2">
      <c r="A509" s="139"/>
      <c r="B509" s="123"/>
      <c r="C509" s="140"/>
      <c r="D509" s="141"/>
      <c r="E509" s="143"/>
      <c r="F509" s="141"/>
      <c r="G509" s="143"/>
      <c r="H509" s="789"/>
      <c r="I509" s="696"/>
      <c r="J509" s="698"/>
      <c r="K509" s="698"/>
      <c r="L509" s="698"/>
      <c r="M509" s="696"/>
      <c r="N509" s="698"/>
      <c r="O509" s="698"/>
      <c r="P509" s="698"/>
      <c r="Q509" s="179"/>
      <c r="R509" s="179"/>
      <c r="S509" s="179"/>
      <c r="T509" s="179"/>
      <c r="U509" s="179"/>
      <c r="V509" s="179"/>
      <c r="W509" s="179"/>
      <c r="X509" s="180"/>
      <c r="Y509" s="154"/>
      <c r="Z509" s="147"/>
      <c r="AA509" s="147"/>
      <c r="AB509" s="148"/>
      <c r="AC509" s="760"/>
      <c r="AD509" s="758"/>
      <c r="AE509" s="758"/>
      <c r="AF509" s="759"/>
      <c r="AG509" s="109"/>
      <c r="AH509" s="109"/>
      <c r="AI509" s="109"/>
      <c r="AJ509" s="109"/>
    </row>
    <row r="510" spans="1:36" ht="18.75" customHeight="1" x14ac:dyDescent="0.2">
      <c r="A510" s="139"/>
      <c r="B510" s="123"/>
      <c r="C510" s="140"/>
      <c r="D510" s="141"/>
      <c r="E510" s="143"/>
      <c r="F510" s="141"/>
      <c r="G510" s="143"/>
      <c r="H510" s="834" t="s">
        <v>481</v>
      </c>
      <c r="I510" s="715" t="s">
        <v>781</v>
      </c>
      <c r="J510" s="708" t="s">
        <v>256</v>
      </c>
      <c r="K510" s="708"/>
      <c r="L510" s="708"/>
      <c r="M510" s="707" t="s">
        <v>383</v>
      </c>
      <c r="N510" s="708" t="s">
        <v>257</v>
      </c>
      <c r="O510" s="708"/>
      <c r="P510" s="708"/>
      <c r="Q510" s="251"/>
      <c r="R510" s="251"/>
      <c r="S510" s="251"/>
      <c r="T510" s="251"/>
      <c r="U510" s="251"/>
      <c r="V510" s="251"/>
      <c r="W510" s="251"/>
      <c r="X510" s="252"/>
      <c r="Y510" s="154"/>
      <c r="Z510" s="147"/>
      <c r="AA510" s="147"/>
      <c r="AB510" s="148"/>
      <c r="AC510" s="760"/>
      <c r="AD510" s="758"/>
      <c r="AE510" s="758"/>
      <c r="AF510" s="759"/>
      <c r="AG510" s="109"/>
      <c r="AH510" s="109"/>
      <c r="AI510" s="109" t="str">
        <f>"67:chuusankanti_kibo_code:" &amp; IF(I510="■",1,IF(M510="■",2,0))</f>
        <v>67:chuusankanti_kibo_code:1</v>
      </c>
      <c r="AJ510" s="109"/>
    </row>
    <row r="511" spans="1:36" ht="18.75" customHeight="1" x14ac:dyDescent="0.2">
      <c r="A511" s="295"/>
      <c r="B511" s="296"/>
      <c r="C511" s="297"/>
      <c r="D511" s="298"/>
      <c r="E511" s="299"/>
      <c r="F511" s="186"/>
      <c r="G511" s="189"/>
      <c r="H511" s="835"/>
      <c r="I511" s="765"/>
      <c r="J511" s="753"/>
      <c r="K511" s="753"/>
      <c r="L511" s="753"/>
      <c r="M511" s="766"/>
      <c r="N511" s="753"/>
      <c r="O511" s="753"/>
      <c r="P511" s="753"/>
      <c r="Q511" s="266"/>
      <c r="R511" s="266"/>
      <c r="S511" s="266"/>
      <c r="T511" s="266"/>
      <c r="U511" s="266"/>
      <c r="V511" s="266"/>
      <c r="W511" s="266"/>
      <c r="X511" s="267"/>
      <c r="Y511" s="194"/>
      <c r="Z511" s="192"/>
      <c r="AA511" s="192"/>
      <c r="AB511" s="193"/>
      <c r="AC511" s="761"/>
      <c r="AD511" s="762"/>
      <c r="AE511" s="762"/>
      <c r="AF511" s="763"/>
      <c r="AG511" s="109"/>
      <c r="AH511" s="109"/>
      <c r="AI511" s="109"/>
      <c r="AJ511" s="109"/>
    </row>
    <row r="512" spans="1:36" ht="19.5" customHeight="1" x14ac:dyDescent="0.2">
      <c r="A512" s="139"/>
      <c r="B512" s="116"/>
      <c r="C512" s="140"/>
      <c r="D512" s="141"/>
      <c r="E512" s="128"/>
      <c r="F512" s="300"/>
      <c r="G512" s="301"/>
      <c r="H512" s="705" t="s">
        <v>790</v>
      </c>
      <c r="I512" s="754" t="s">
        <v>383</v>
      </c>
      <c r="J512" s="700" t="s">
        <v>250</v>
      </c>
      <c r="K512" s="700"/>
      <c r="L512" s="700"/>
      <c r="M512" s="756" t="s">
        <v>383</v>
      </c>
      <c r="N512" s="700" t="s">
        <v>806</v>
      </c>
      <c r="O512" s="700"/>
      <c r="P512" s="700"/>
      <c r="Q512" s="135"/>
      <c r="R512" s="135"/>
      <c r="S512" s="135"/>
      <c r="T512" s="135"/>
      <c r="U512" s="135"/>
      <c r="V512" s="135"/>
      <c r="W512" s="135"/>
      <c r="X512" s="136"/>
      <c r="Y512" s="125" t="s">
        <v>383</v>
      </c>
      <c r="Z512" s="119" t="s">
        <v>510</v>
      </c>
      <c r="AA512" s="302"/>
      <c r="AB512" s="303"/>
      <c r="AC512" s="675"/>
      <c r="AD512" s="676"/>
      <c r="AE512" s="676"/>
      <c r="AF512" s="677"/>
      <c r="AG512" s="109" t="str">
        <f>"ser_code = '" &amp; IF(A513="■",46,"") &amp; "'"</f>
        <v>ser_code = ''</v>
      </c>
      <c r="AJ512" s="109" t="str">
        <f>"46:field203:" &amp; IF(Y512="■",1,IF(Y513="■",2,0))</f>
        <v>46:field203:0</v>
      </c>
    </row>
    <row r="513" spans="1:36" ht="19.5" customHeight="1" x14ac:dyDescent="0.2">
      <c r="A513" s="304" t="s">
        <v>383</v>
      </c>
      <c r="B513" s="123">
        <v>46</v>
      </c>
      <c r="C513" s="140" t="s">
        <v>71</v>
      </c>
      <c r="D513" s="304" t="s">
        <v>383</v>
      </c>
      <c r="E513" s="128" t="s">
        <v>512</v>
      </c>
      <c r="F513" s="305"/>
      <c r="G513" s="306"/>
      <c r="H513" s="706"/>
      <c r="I513" s="720"/>
      <c r="J513" s="1007"/>
      <c r="K513" s="1007"/>
      <c r="L513" s="1007"/>
      <c r="M513" s="977"/>
      <c r="N513" s="1007"/>
      <c r="O513" s="1007"/>
      <c r="P513" s="1007"/>
      <c r="Q513" s="975"/>
      <c r="R513" s="975"/>
      <c r="S513" s="975"/>
      <c r="T513" s="975"/>
      <c r="U513" s="975"/>
      <c r="V513" s="975"/>
      <c r="W513" s="975"/>
      <c r="X513" s="270"/>
      <c r="Y513" s="118" t="s">
        <v>383</v>
      </c>
      <c r="Z513" s="126" t="s">
        <v>255</v>
      </c>
      <c r="AA513" s="307"/>
      <c r="AB513" s="308"/>
      <c r="AC513" s="678"/>
      <c r="AD513" s="679"/>
      <c r="AE513" s="679"/>
      <c r="AF513" s="680"/>
      <c r="AG513" s="109" t="str">
        <f>"46:sisetukbn_code:" &amp; IF(D513="■",1,0)</f>
        <v>46:sisetukbn_code:0</v>
      </c>
    </row>
    <row r="514" spans="1:36" ht="18.75" customHeight="1" x14ac:dyDescent="0.2">
      <c r="A514" s="295"/>
      <c r="B514" s="296"/>
      <c r="C514" s="297"/>
      <c r="D514" s="298"/>
      <c r="E514" s="299"/>
      <c r="F514" s="309"/>
      <c r="G514" s="310"/>
      <c r="H514" s="786"/>
      <c r="I514" s="1008"/>
      <c r="J514" s="784"/>
      <c r="K514" s="784"/>
      <c r="L514" s="784"/>
      <c r="M514" s="1009"/>
      <c r="N514" s="784"/>
      <c r="O514" s="784"/>
      <c r="P514" s="784"/>
      <c r="Q514" s="266"/>
      <c r="R514" s="266"/>
      <c r="S514" s="266"/>
      <c r="T514" s="266"/>
      <c r="U514" s="266"/>
      <c r="V514" s="266"/>
      <c r="W514" s="266"/>
      <c r="X514" s="267"/>
      <c r="Y514" s="194"/>
      <c r="Z514" s="192"/>
      <c r="AA514" s="192"/>
      <c r="AB514" s="193"/>
      <c r="AC514" s="722"/>
      <c r="AD514" s="723"/>
      <c r="AE514" s="723"/>
      <c r="AF514" s="724"/>
      <c r="AG514" s="109"/>
      <c r="AI514" s="109"/>
      <c r="AJ514" s="109"/>
    </row>
    <row r="515" spans="1:36" ht="18.75" customHeight="1" x14ac:dyDescent="0.2">
      <c r="A515" s="129"/>
      <c r="B515" s="656"/>
      <c r="C515" s="130"/>
      <c r="D515" s="131"/>
      <c r="E515" s="121"/>
      <c r="F515" s="1013"/>
      <c r="G515" s="136"/>
      <c r="H515" s="242" t="s">
        <v>449</v>
      </c>
      <c r="I515" s="643" t="s">
        <v>781</v>
      </c>
      <c r="J515" s="169" t="s">
        <v>250</v>
      </c>
      <c r="K515" s="179"/>
      <c r="L515" s="645" t="s">
        <v>383</v>
      </c>
      <c r="M515" s="169" t="s">
        <v>267</v>
      </c>
      <c r="N515" s="179"/>
      <c r="O515" s="179"/>
      <c r="P515" s="169"/>
      <c r="Q515" s="179"/>
      <c r="R515" s="179"/>
      <c r="S515" s="179"/>
      <c r="T515" s="179"/>
      <c r="U515" s="179"/>
      <c r="V515" s="179"/>
      <c r="W515" s="179"/>
      <c r="X515" s="180"/>
      <c r="Y515" s="663" t="s">
        <v>383</v>
      </c>
      <c r="Z515" s="119" t="s">
        <v>510</v>
      </c>
      <c r="AA515" s="294"/>
      <c r="AB515" s="137"/>
      <c r="AC515" s="675"/>
      <c r="AD515" s="676"/>
      <c r="AE515" s="676"/>
      <c r="AF515" s="677"/>
      <c r="AG515" s="109" t="str">
        <f>"ser_code = '" &amp; IF(A517="■",46,"") &amp; "'"</f>
        <v>ser_code = ''</v>
      </c>
      <c r="AI515" s="109" t="str">
        <f>"46:tokutiiki_code:" &amp; IF(I515="■",1,IF(L515="■",2,0))</f>
        <v>46:tokutiiki_code:1</v>
      </c>
      <c r="AJ515" s="109" t="str">
        <f>"46:field203:" &amp; IF(Y515="■",1,IF(Y516="■",2,0))</f>
        <v>46:field203:0</v>
      </c>
    </row>
    <row r="516" spans="1:36" ht="18.75" customHeight="1" x14ac:dyDescent="0.2">
      <c r="A516" s="139"/>
      <c r="B516" s="670"/>
      <c r="C516" s="140"/>
      <c r="D516" s="141"/>
      <c r="E516" s="128"/>
      <c r="F516" s="1010"/>
      <c r="G516" s="270"/>
      <c r="H516" s="694" t="s">
        <v>209</v>
      </c>
      <c r="I516" s="707" t="s">
        <v>781</v>
      </c>
      <c r="J516" s="708" t="s">
        <v>256</v>
      </c>
      <c r="K516" s="708"/>
      <c r="L516" s="708"/>
      <c r="M516" s="707" t="s">
        <v>383</v>
      </c>
      <c r="N516" s="708" t="s">
        <v>257</v>
      </c>
      <c r="O516" s="708"/>
      <c r="P516" s="708"/>
      <c r="Q516" s="251"/>
      <c r="R516" s="251"/>
      <c r="S516" s="251"/>
      <c r="T516" s="251"/>
      <c r="U516" s="251"/>
      <c r="V516" s="251"/>
      <c r="W516" s="251"/>
      <c r="X516" s="252"/>
      <c r="Y516" s="664" t="s">
        <v>383</v>
      </c>
      <c r="Z516" s="614" t="s">
        <v>255</v>
      </c>
      <c r="AA516" s="627"/>
      <c r="AB516" s="148"/>
      <c r="AC516" s="678"/>
      <c r="AD516" s="679"/>
      <c r="AE516" s="679"/>
      <c r="AF516" s="680"/>
      <c r="AG516" s="109" t="str">
        <f>"46:sisetukbn_code:" &amp; IF(D516="■",2,0)</f>
        <v>46:sisetukbn_code:0</v>
      </c>
      <c r="AI516" s="109" t="str">
        <f>"46:chuusankanti_tiiki_code:" &amp; IF(I516="■",1,IF(M516="■",2,0))</f>
        <v>46:chuusankanti_tiiki_code:1</v>
      </c>
    </row>
    <row r="517" spans="1:36" ht="18.75" customHeight="1" x14ac:dyDescent="0.2">
      <c r="A517" s="304" t="s">
        <v>383</v>
      </c>
      <c r="B517" s="670">
        <v>46</v>
      </c>
      <c r="C517" s="140" t="s">
        <v>71</v>
      </c>
      <c r="D517" s="304" t="s">
        <v>383</v>
      </c>
      <c r="E517" s="128" t="s">
        <v>513</v>
      </c>
      <c r="F517" s="1010"/>
      <c r="G517" s="270"/>
      <c r="H517" s="693"/>
      <c r="I517" s="696"/>
      <c r="J517" s="698"/>
      <c r="K517" s="698"/>
      <c r="L517" s="698"/>
      <c r="M517" s="696"/>
      <c r="N517" s="698"/>
      <c r="O517" s="698"/>
      <c r="P517" s="698"/>
      <c r="Q517" s="179"/>
      <c r="R517" s="179"/>
      <c r="S517" s="179"/>
      <c r="T517" s="179"/>
      <c r="U517" s="179"/>
      <c r="V517" s="179"/>
      <c r="W517" s="179"/>
      <c r="X517" s="180"/>
      <c r="Y517" s="154"/>
      <c r="Z517" s="627"/>
      <c r="AA517" s="627"/>
      <c r="AB517" s="148"/>
      <c r="AC517" s="678"/>
      <c r="AD517" s="679"/>
      <c r="AE517" s="679"/>
      <c r="AF517" s="680"/>
      <c r="AI517" s="109"/>
    </row>
    <row r="518" spans="1:36" ht="18.75" customHeight="1" x14ac:dyDescent="0.2">
      <c r="A518" s="139"/>
      <c r="B518" s="670"/>
      <c r="C518" s="140"/>
      <c r="D518" s="141"/>
      <c r="E518" s="128"/>
      <c r="F518" s="1010"/>
      <c r="G518" s="270"/>
      <c r="H518" s="694" t="s">
        <v>210</v>
      </c>
      <c r="I518" s="725" t="s">
        <v>781</v>
      </c>
      <c r="J518" s="726" t="s">
        <v>256</v>
      </c>
      <c r="K518" s="726"/>
      <c r="L518" s="726"/>
      <c r="M518" s="727" t="s">
        <v>383</v>
      </c>
      <c r="N518" s="726" t="s">
        <v>446</v>
      </c>
      <c r="O518" s="726"/>
      <c r="P518" s="726"/>
      <c r="Q518" s="251"/>
      <c r="R518" s="251"/>
      <c r="S518" s="251"/>
      <c r="T518" s="251"/>
      <c r="U518" s="251"/>
      <c r="V518" s="251"/>
      <c r="W518" s="251"/>
      <c r="X518" s="252"/>
      <c r="Y518" s="154"/>
      <c r="Z518" s="627"/>
      <c r="AA518" s="627"/>
      <c r="AB518" s="148"/>
      <c r="AC518" s="678"/>
      <c r="AD518" s="679"/>
      <c r="AE518" s="679"/>
      <c r="AF518" s="680"/>
      <c r="AI518" s="109" t="str">
        <f>"46:chuusankanti_kibo_code:" &amp; IF(I518="■",1,IF(M518="■",2,0))</f>
        <v>46:chuusankanti_kibo_code:1</v>
      </c>
    </row>
    <row r="519" spans="1:36" ht="18.75" customHeight="1" x14ac:dyDescent="0.2">
      <c r="A519" s="139"/>
      <c r="B519" s="670"/>
      <c r="C519" s="140"/>
      <c r="D519" s="141"/>
      <c r="E519" s="128"/>
      <c r="F519" s="1010"/>
      <c r="G519" s="270"/>
      <c r="H519" s="692"/>
      <c r="I519" s="1012"/>
      <c r="J519" s="726"/>
      <c r="K519" s="726"/>
      <c r="L519" s="726"/>
      <c r="M519" s="727"/>
      <c r="N519" s="726"/>
      <c r="O519" s="726"/>
      <c r="P519" s="726"/>
      <c r="Q519" s="179"/>
      <c r="R519" s="179"/>
      <c r="S519" s="179"/>
      <c r="T519" s="179"/>
      <c r="U519" s="179"/>
      <c r="V519" s="179"/>
      <c r="W519" s="179"/>
      <c r="X519" s="180"/>
      <c r="Y519" s="154"/>
      <c r="Z519" s="627"/>
      <c r="AA519" s="627"/>
      <c r="AB519" s="148"/>
      <c r="AC519" s="678"/>
      <c r="AD519" s="679"/>
      <c r="AE519" s="679"/>
      <c r="AF519" s="680"/>
    </row>
    <row r="520" spans="1:36" s="621" customFormat="1" ht="18.75" customHeight="1" x14ac:dyDescent="0.2">
      <c r="A520" s="973"/>
      <c r="B520" s="658"/>
      <c r="C520" s="185"/>
      <c r="D520" s="186"/>
      <c r="E520" s="187"/>
      <c r="F520" s="1014"/>
      <c r="G520" s="267"/>
      <c r="H520" s="1011" t="s">
        <v>790</v>
      </c>
      <c r="I520" s="651" t="s">
        <v>383</v>
      </c>
      <c r="J520" s="623" t="s">
        <v>627</v>
      </c>
      <c r="K520" s="623"/>
      <c r="L520" s="353" t="s">
        <v>383</v>
      </c>
      <c r="M520" s="623" t="s">
        <v>635</v>
      </c>
      <c r="N520" s="625"/>
      <c r="O520" s="630"/>
      <c r="P520" s="630"/>
      <c r="Q520" s="625"/>
      <c r="R520" s="625"/>
      <c r="S520" s="625"/>
      <c r="T520" s="625"/>
      <c r="U520" s="625"/>
      <c r="V520" s="625"/>
      <c r="W520" s="625"/>
      <c r="X520" s="626"/>
      <c r="Y520" s="194"/>
      <c r="Z520" s="192"/>
      <c r="AA520" s="192"/>
      <c r="AB520" s="193"/>
      <c r="AC520" s="722"/>
      <c r="AD520" s="723"/>
      <c r="AE520" s="723"/>
      <c r="AF520" s="724"/>
    </row>
    <row r="521" spans="1:36" ht="20.25" customHeight="1" x14ac:dyDescent="0.2"/>
    <row r="522" spans="1:36" ht="20.25" customHeight="1" x14ac:dyDescent="0.2">
      <c r="A522" s="681" t="s">
        <v>778</v>
      </c>
      <c r="B522" s="681"/>
      <c r="C522" s="681"/>
      <c r="D522" s="681"/>
      <c r="E522" s="681"/>
      <c r="F522" s="681"/>
      <c r="G522" s="681"/>
      <c r="H522" s="681"/>
      <c r="I522" s="681"/>
      <c r="J522" s="681"/>
      <c r="K522" s="681"/>
      <c r="L522" s="681"/>
      <c r="M522" s="681"/>
      <c r="N522" s="681"/>
      <c r="O522" s="681"/>
      <c r="P522" s="681"/>
      <c r="Q522" s="681"/>
      <c r="R522" s="681"/>
      <c r="S522" s="681"/>
      <c r="T522" s="681"/>
      <c r="U522" s="681"/>
      <c r="V522" s="681"/>
      <c r="W522" s="681"/>
      <c r="X522" s="681"/>
      <c r="Y522" s="681"/>
      <c r="Z522" s="681"/>
      <c r="AA522" s="681"/>
      <c r="AB522" s="681"/>
      <c r="AC522" s="681"/>
      <c r="AD522" s="681"/>
      <c r="AE522" s="681"/>
      <c r="AF522" s="681"/>
    </row>
    <row r="523" spans="1:36" ht="20.25" customHeight="1" x14ac:dyDescent="0.2">
      <c r="AG523" s="145" t="s">
        <v>779</v>
      </c>
    </row>
    <row r="524" spans="1:36" ht="30" customHeight="1" x14ac:dyDescent="0.2">
      <c r="A524" s="685" t="s">
        <v>787</v>
      </c>
      <c r="B524" s="686"/>
      <c r="C524" s="686"/>
      <c r="D524" s="686"/>
      <c r="E524" s="687"/>
      <c r="F524" s="685" t="s">
        <v>788</v>
      </c>
      <c r="G524" s="686"/>
      <c r="H524" s="686"/>
      <c r="I524" s="686"/>
      <c r="J524" s="687"/>
      <c r="K524" s="688" t="s">
        <v>789</v>
      </c>
      <c r="L524" s="689"/>
      <c r="M524" s="689"/>
      <c r="N524" s="689"/>
      <c r="O524" s="689"/>
      <c r="P524" s="689"/>
      <c r="Q524" s="689"/>
      <c r="R524" s="690"/>
      <c r="S524" s="682" t="s">
        <v>84</v>
      </c>
      <c r="T524" s="683"/>
      <c r="U524" s="683"/>
      <c r="V524" s="684"/>
      <c r="W524" s="112"/>
      <c r="X524" s="113"/>
      <c r="Y524" s="113"/>
      <c r="Z524" s="113"/>
      <c r="AA524" s="113"/>
      <c r="AB524" s="113"/>
      <c r="AC524" s="113"/>
      <c r="AD524" s="113"/>
      <c r="AE524" s="113"/>
      <c r="AF524" s="114"/>
      <c r="AG524" s="109" t="str">
        <f>"kaigo_num='" &amp;W524&amp;X524&amp;Y524&amp;Z524&amp;AA524&amp;AB524&amp;AC524&amp;AD524&amp;AE524&amp;AF524&amp; "'"</f>
        <v>kaigo_num=''</v>
      </c>
    </row>
    <row r="525" spans="1:36" ht="20.25" customHeight="1" x14ac:dyDescent="0.2">
      <c r="AG525" s="109"/>
    </row>
    <row r="526" spans="1:36" ht="17.25" customHeight="1" x14ac:dyDescent="0.2">
      <c r="A526" s="682" t="s">
        <v>85</v>
      </c>
      <c r="B526" s="683"/>
      <c r="C526" s="684"/>
      <c r="D526" s="682" t="s">
        <v>1</v>
      </c>
      <c r="E526" s="684"/>
      <c r="F526" s="682" t="s">
        <v>86</v>
      </c>
      <c r="G526" s="684"/>
      <c r="H526" s="682" t="s">
        <v>179</v>
      </c>
      <c r="I526" s="683"/>
      <c r="J526" s="683"/>
      <c r="K526" s="683"/>
      <c r="L526" s="683"/>
      <c r="M526" s="683"/>
      <c r="N526" s="683"/>
      <c r="O526" s="683"/>
      <c r="P526" s="683"/>
      <c r="Q526" s="683"/>
      <c r="R526" s="683"/>
      <c r="S526" s="683"/>
      <c r="T526" s="683"/>
      <c r="U526" s="683"/>
      <c r="V526" s="683"/>
      <c r="W526" s="683"/>
      <c r="X526" s="683"/>
      <c r="Y526" s="683"/>
      <c r="Z526" s="683"/>
      <c r="AA526" s="683"/>
      <c r="AB526" s="683"/>
      <c r="AC526" s="683"/>
      <c r="AD526" s="683"/>
      <c r="AE526" s="683"/>
      <c r="AF526" s="684"/>
      <c r="AG526" s="109"/>
    </row>
    <row r="527" spans="1:36" ht="18.75" customHeight="1" x14ac:dyDescent="0.2">
      <c r="A527" s="699" t="s">
        <v>88</v>
      </c>
      <c r="B527" s="700"/>
      <c r="C527" s="701"/>
      <c r="D527" s="115"/>
      <c r="E527" s="225"/>
      <c r="F527" s="131"/>
      <c r="G527" s="133"/>
      <c r="H527" s="705" t="s">
        <v>89</v>
      </c>
      <c r="I527" s="138" t="s">
        <v>383</v>
      </c>
      <c r="J527" s="119" t="s">
        <v>238</v>
      </c>
      <c r="K527" s="120"/>
      <c r="L527" s="120"/>
      <c r="M527" s="134" t="s">
        <v>383</v>
      </c>
      <c r="N527" s="119" t="s">
        <v>239</v>
      </c>
      <c r="O527" s="120"/>
      <c r="P527" s="120"/>
      <c r="Q527" s="134" t="s">
        <v>383</v>
      </c>
      <c r="R527" s="119" t="s">
        <v>240</v>
      </c>
      <c r="S527" s="120"/>
      <c r="T527" s="120"/>
      <c r="U527" s="134" t="s">
        <v>383</v>
      </c>
      <c r="V527" s="119" t="s">
        <v>241</v>
      </c>
      <c r="W527" s="120"/>
      <c r="X527" s="120"/>
      <c r="Y527" s="119"/>
      <c r="Z527" s="120"/>
      <c r="AA527" s="120"/>
      <c r="AB527" s="120"/>
      <c r="AC527" s="120"/>
      <c r="AD527" s="120"/>
      <c r="AE527" s="120"/>
      <c r="AF527" s="121"/>
      <c r="AG527" s="109" t="str">
        <f>"tiikikbn_code:"&amp; IF(I527="■",1,IF(M527="■",6,IF(Q527="■",7,IF(U527="■",2,IF(I528="■",3,IF(M528="■",4,IF(Q528="■",9,IF(U528="■",5,0))))))))</f>
        <v>tiikikbn_code:0</v>
      </c>
    </row>
    <row r="528" spans="1:36" ht="18.75" customHeight="1" x14ac:dyDescent="0.2">
      <c r="A528" s="783"/>
      <c r="B528" s="784"/>
      <c r="C528" s="785"/>
      <c r="D528" s="276"/>
      <c r="E528" s="228"/>
      <c r="F528" s="186"/>
      <c r="G528" s="189"/>
      <c r="H528" s="786"/>
      <c r="I528" s="277" t="s">
        <v>383</v>
      </c>
      <c r="J528" s="231" t="s">
        <v>242</v>
      </c>
      <c r="K528" s="278"/>
      <c r="L528" s="278"/>
      <c r="M528" s="211" t="s">
        <v>383</v>
      </c>
      <c r="N528" s="231" t="s">
        <v>243</v>
      </c>
      <c r="O528" s="278"/>
      <c r="P528" s="278"/>
      <c r="Q528" s="211" t="s">
        <v>383</v>
      </c>
      <c r="R528" s="231" t="s">
        <v>244</v>
      </c>
      <c r="S528" s="278"/>
      <c r="T528" s="278"/>
      <c r="U528" s="211" t="s">
        <v>383</v>
      </c>
      <c r="V528" s="231" t="s">
        <v>245</v>
      </c>
      <c r="W528" s="278"/>
      <c r="X528" s="278"/>
      <c r="Y528" s="265"/>
      <c r="Z528" s="312"/>
      <c r="AA528" s="312"/>
      <c r="AB528" s="312"/>
      <c r="AC528" s="312"/>
      <c r="AD528" s="312"/>
      <c r="AE528" s="312"/>
      <c r="AF528" s="313"/>
      <c r="AG528" s="109"/>
    </row>
    <row r="529" spans="1:35" s="109" customFormat="1" ht="19.5" customHeight="1" x14ac:dyDescent="0.2">
      <c r="A529" s="129"/>
      <c r="B529" s="116"/>
      <c r="C529" s="130"/>
      <c r="D529" s="131"/>
      <c r="E529" s="121"/>
      <c r="F529" s="132"/>
      <c r="G529" s="133"/>
      <c r="H529" s="503" t="s">
        <v>448</v>
      </c>
      <c r="I529" s="367" t="s">
        <v>383</v>
      </c>
      <c r="J529" s="368" t="s">
        <v>395</v>
      </c>
      <c r="K529" s="369"/>
      <c r="L529" s="370"/>
      <c r="M529" s="371" t="s">
        <v>383</v>
      </c>
      <c r="N529" s="368" t="s">
        <v>431</v>
      </c>
      <c r="O529" s="512"/>
      <c r="P529" s="368"/>
      <c r="Q529" s="372"/>
      <c r="R529" s="372"/>
      <c r="S529" s="372"/>
      <c r="T529" s="372"/>
      <c r="U529" s="372"/>
      <c r="V529" s="372"/>
      <c r="W529" s="372"/>
      <c r="X529" s="372"/>
      <c r="Y529" s="372"/>
      <c r="Z529" s="368"/>
      <c r="AA529" s="368"/>
      <c r="AB529" s="513"/>
      <c r="AC529" s="370"/>
      <c r="AD529" s="370"/>
      <c r="AE529" s="370"/>
      <c r="AF529" s="514"/>
      <c r="AG529" s="109" t="str">
        <f>"ser_code = '" &amp; IF(A531="■","63S","") &amp; "'"</f>
        <v>ser_code = ''</v>
      </c>
      <c r="AI529" s="109" t="str">
        <f>"63:field232:" &amp; IF(I529="■",1,IF(M529="■",2,0))</f>
        <v>63:field232:0</v>
      </c>
    </row>
    <row r="530" spans="1:35" ht="18.75" customHeight="1" x14ac:dyDescent="0.2">
      <c r="A530" s="139"/>
      <c r="B530" s="123"/>
      <c r="C530" s="140"/>
      <c r="D530" s="141"/>
      <c r="E530" s="128"/>
      <c r="F530" s="260"/>
      <c r="G530" s="143"/>
      <c r="H530" s="515" t="s">
        <v>137</v>
      </c>
      <c r="I530" s="380" t="s">
        <v>383</v>
      </c>
      <c r="J530" s="381" t="s">
        <v>250</v>
      </c>
      <c r="K530" s="419"/>
      <c r="L530" s="383" t="s">
        <v>383</v>
      </c>
      <c r="M530" s="381" t="s">
        <v>267</v>
      </c>
      <c r="N530" s="419"/>
      <c r="O530" s="436"/>
      <c r="P530" s="436"/>
      <c r="Q530" s="436"/>
      <c r="R530" s="436"/>
      <c r="S530" s="436"/>
      <c r="T530" s="436"/>
      <c r="U530" s="436"/>
      <c r="V530" s="436"/>
      <c r="W530" s="436"/>
      <c r="X530" s="436"/>
      <c r="Y530" s="436"/>
      <c r="Z530" s="436"/>
      <c r="AA530" s="436"/>
      <c r="AB530" s="436"/>
      <c r="AC530" s="436"/>
      <c r="AD530" s="436"/>
      <c r="AE530" s="436"/>
      <c r="AF530" s="437"/>
      <c r="AG530" s="109" t="str">
        <f>"63:sisetukbn_code:" &amp; IF(D531="■",1,IF(D532="■",2,0))</f>
        <v>63:sisetukbn_code:0</v>
      </c>
      <c r="AI530" s="109" t="str">
        <f>"63:tokutiiki_code:" &amp; IF(I530="■",1,IF(L530="■",2,0))</f>
        <v>63:tokutiiki_code:0</v>
      </c>
    </row>
    <row r="531" spans="1:35" ht="18.75" customHeight="1" x14ac:dyDescent="0.2">
      <c r="A531" s="304" t="s">
        <v>383</v>
      </c>
      <c r="B531" s="123">
        <v>63</v>
      </c>
      <c r="C531" s="140" t="s">
        <v>514</v>
      </c>
      <c r="D531" s="304" t="s">
        <v>383</v>
      </c>
      <c r="E531" s="128" t="s">
        <v>276</v>
      </c>
      <c r="F531" s="260"/>
      <c r="G531" s="143"/>
      <c r="H531" s="790" t="s">
        <v>209</v>
      </c>
      <c r="I531" s="797" t="s">
        <v>383</v>
      </c>
      <c r="J531" s="796" t="s">
        <v>256</v>
      </c>
      <c r="K531" s="796"/>
      <c r="L531" s="796"/>
      <c r="M531" s="797" t="s">
        <v>383</v>
      </c>
      <c r="N531" s="796" t="s">
        <v>257</v>
      </c>
      <c r="O531" s="796"/>
      <c r="P531" s="796"/>
      <c r="Q531" s="410"/>
      <c r="R531" s="410"/>
      <c r="S531" s="410"/>
      <c r="T531" s="410"/>
      <c r="U531" s="410"/>
      <c r="V531" s="410"/>
      <c r="W531" s="410"/>
      <c r="X531" s="410"/>
      <c r="Y531" s="410"/>
      <c r="Z531" s="410"/>
      <c r="AA531" s="410"/>
      <c r="AB531" s="410"/>
      <c r="AC531" s="410"/>
      <c r="AD531" s="410"/>
      <c r="AE531" s="410"/>
      <c r="AF531" s="411"/>
      <c r="AG531" s="109"/>
      <c r="AI531" s="109" t="str">
        <f>"63:chuusankanti_tiiki_code:" &amp; IF(I531="■",1,IF(M531="■",2,0))</f>
        <v>63:chuusankanti_tiiki_code:0</v>
      </c>
    </row>
    <row r="532" spans="1:35" ht="18.75" customHeight="1" x14ac:dyDescent="0.2">
      <c r="A532" s="139"/>
      <c r="B532" s="123"/>
      <c r="C532" s="140"/>
      <c r="D532" s="304" t="s">
        <v>383</v>
      </c>
      <c r="E532" s="128" t="s">
        <v>274</v>
      </c>
      <c r="F532" s="260"/>
      <c r="G532" s="143"/>
      <c r="H532" s="791"/>
      <c r="I532" s="793"/>
      <c r="J532" s="795"/>
      <c r="K532" s="795"/>
      <c r="L532" s="795"/>
      <c r="M532" s="793"/>
      <c r="N532" s="795"/>
      <c r="O532" s="795"/>
      <c r="P532" s="795"/>
      <c r="Q532" s="436"/>
      <c r="R532" s="436"/>
      <c r="S532" s="436"/>
      <c r="T532" s="436"/>
      <c r="U532" s="436"/>
      <c r="V532" s="436"/>
      <c r="W532" s="436"/>
      <c r="X532" s="436"/>
      <c r="Y532" s="436"/>
      <c r="Z532" s="436"/>
      <c r="AA532" s="436"/>
      <c r="AB532" s="436"/>
      <c r="AC532" s="436"/>
      <c r="AD532" s="436"/>
      <c r="AE532" s="436"/>
      <c r="AF532" s="437"/>
      <c r="AI532" s="109"/>
    </row>
    <row r="533" spans="1:35" ht="18.75" customHeight="1" x14ac:dyDescent="0.2">
      <c r="A533" s="139"/>
      <c r="B533" s="123"/>
      <c r="C533" s="140"/>
      <c r="D533" s="141"/>
      <c r="E533" s="128"/>
      <c r="F533" s="260"/>
      <c r="G533" s="143"/>
      <c r="H533" s="790" t="s">
        <v>210</v>
      </c>
      <c r="I533" s="837" t="s">
        <v>383</v>
      </c>
      <c r="J533" s="796" t="s">
        <v>256</v>
      </c>
      <c r="K533" s="796"/>
      <c r="L533" s="796"/>
      <c r="M533" s="797" t="s">
        <v>383</v>
      </c>
      <c r="N533" s="796" t="s">
        <v>257</v>
      </c>
      <c r="O533" s="796"/>
      <c r="P533" s="796"/>
      <c r="Q533" s="410"/>
      <c r="R533" s="410"/>
      <c r="S533" s="410"/>
      <c r="T533" s="410"/>
      <c r="U533" s="410"/>
      <c r="V533" s="410"/>
      <c r="W533" s="410"/>
      <c r="X533" s="410"/>
      <c r="Y533" s="410"/>
      <c r="Z533" s="410"/>
      <c r="AA533" s="410"/>
      <c r="AB533" s="410"/>
      <c r="AC533" s="410"/>
      <c r="AD533" s="410"/>
      <c r="AE533" s="410"/>
      <c r="AF533" s="411"/>
      <c r="AI533" s="109" t="str">
        <f>"63:chuusankanti_kibo_code:" &amp; IF(I533="■",1,IF(M533="■",2,0))</f>
        <v>63:chuusankanti_kibo_code:0</v>
      </c>
    </row>
    <row r="534" spans="1:35" ht="18.75" customHeight="1" x14ac:dyDescent="0.2">
      <c r="A534" s="183"/>
      <c r="B534" s="184"/>
      <c r="C534" s="185"/>
      <c r="D534" s="186"/>
      <c r="E534" s="187"/>
      <c r="F534" s="314"/>
      <c r="G534" s="189"/>
      <c r="H534" s="836"/>
      <c r="I534" s="838"/>
      <c r="J534" s="839"/>
      <c r="K534" s="839"/>
      <c r="L534" s="839"/>
      <c r="M534" s="840"/>
      <c r="N534" s="839"/>
      <c r="O534" s="839"/>
      <c r="P534" s="839"/>
      <c r="Q534" s="499"/>
      <c r="R534" s="499"/>
      <c r="S534" s="499"/>
      <c r="T534" s="499"/>
      <c r="U534" s="499"/>
      <c r="V534" s="499"/>
      <c r="W534" s="499"/>
      <c r="X534" s="499"/>
      <c r="Y534" s="499"/>
      <c r="Z534" s="499"/>
      <c r="AA534" s="499"/>
      <c r="AB534" s="499"/>
      <c r="AC534" s="499"/>
      <c r="AD534" s="499"/>
      <c r="AE534" s="499"/>
      <c r="AF534" s="516"/>
    </row>
    <row r="535" spans="1:35" s="109" customFormat="1" ht="19.5" customHeight="1" x14ac:dyDescent="0.2">
      <c r="A535" s="129"/>
      <c r="B535" s="116"/>
      <c r="C535" s="130"/>
      <c r="D535" s="131"/>
      <c r="E535" s="121"/>
      <c r="F535" s="132"/>
      <c r="G535" s="133"/>
      <c r="H535" s="503" t="s">
        <v>448</v>
      </c>
      <c r="I535" s="367" t="s">
        <v>383</v>
      </c>
      <c r="J535" s="368" t="s">
        <v>395</v>
      </c>
      <c r="K535" s="369"/>
      <c r="L535" s="370"/>
      <c r="M535" s="371" t="s">
        <v>383</v>
      </c>
      <c r="N535" s="368" t="s">
        <v>431</v>
      </c>
      <c r="O535" s="512"/>
      <c r="P535" s="368"/>
      <c r="Q535" s="372"/>
      <c r="R535" s="372"/>
      <c r="S535" s="372"/>
      <c r="T535" s="372"/>
      <c r="U535" s="372"/>
      <c r="V535" s="372"/>
      <c r="W535" s="372"/>
      <c r="X535" s="372"/>
      <c r="Y535" s="372"/>
      <c r="Z535" s="368"/>
      <c r="AA535" s="368"/>
      <c r="AB535" s="513"/>
      <c r="AC535" s="370"/>
      <c r="AD535" s="370"/>
      <c r="AE535" s="370"/>
      <c r="AF535" s="514"/>
      <c r="AG535" s="109" t="str">
        <f>"ser_code = '" &amp; IF(A537="■","64S","") &amp; "'"</f>
        <v>ser_code = ''</v>
      </c>
      <c r="AI535" s="109" t="str">
        <f>"64:field232:" &amp; IF(I535="■",1,IF(M535="■",2,0))</f>
        <v>64:field232:0</v>
      </c>
    </row>
    <row r="536" spans="1:35" ht="18.75" customHeight="1" x14ac:dyDescent="0.2">
      <c r="A536" s="139"/>
      <c r="B536" s="123"/>
      <c r="C536" s="237"/>
      <c r="D536" s="142"/>
      <c r="E536" s="128"/>
      <c r="F536" s="142"/>
      <c r="G536" s="143"/>
      <c r="H536" s="281" t="s">
        <v>137</v>
      </c>
      <c r="I536" s="150" t="s">
        <v>383</v>
      </c>
      <c r="J536" s="169" t="s">
        <v>250</v>
      </c>
      <c r="K536" s="179"/>
      <c r="L536" s="203" t="s">
        <v>383</v>
      </c>
      <c r="M536" s="169" t="s">
        <v>267</v>
      </c>
      <c r="N536" s="179"/>
      <c r="O536" s="152"/>
      <c r="P536" s="152"/>
      <c r="Q536" s="152"/>
      <c r="R536" s="152"/>
      <c r="S536" s="152"/>
      <c r="T536" s="152"/>
      <c r="U536" s="152"/>
      <c r="V536" s="152"/>
      <c r="W536" s="152"/>
      <c r="X536" s="152"/>
      <c r="Y536" s="152"/>
      <c r="Z536" s="152"/>
      <c r="AA536" s="152"/>
      <c r="AB536" s="152"/>
      <c r="AC536" s="152"/>
      <c r="AD536" s="152"/>
      <c r="AE536" s="152"/>
      <c r="AF536" s="153"/>
      <c r="AG536" s="109" t="str">
        <f>"64:sisetukbn_code:" &amp; IF(D537="■",1,IF(D538="■",2,IF(D539="■",3,0)))</f>
        <v>64:sisetukbn_code:0</v>
      </c>
      <c r="AI536" s="109" t="str">
        <f>"64:tokutiiki_code:" &amp; IF(I536="■",1,IF(L536="■",2,0))</f>
        <v>64:tokutiiki_code:0</v>
      </c>
    </row>
    <row r="537" spans="1:35" ht="18.75" customHeight="1" x14ac:dyDescent="0.2">
      <c r="A537" s="125" t="s">
        <v>383</v>
      </c>
      <c r="B537" s="123">
        <v>64</v>
      </c>
      <c r="C537" s="237" t="s">
        <v>479</v>
      </c>
      <c r="D537" s="125" t="s">
        <v>383</v>
      </c>
      <c r="E537" s="128" t="s">
        <v>427</v>
      </c>
      <c r="F537" s="142"/>
      <c r="G537" s="143"/>
      <c r="H537" s="834" t="s">
        <v>209</v>
      </c>
      <c r="I537" s="707" t="s">
        <v>383</v>
      </c>
      <c r="J537" s="708" t="s">
        <v>256</v>
      </c>
      <c r="K537" s="708"/>
      <c r="L537" s="708"/>
      <c r="M537" s="707" t="s">
        <v>383</v>
      </c>
      <c r="N537" s="708" t="s">
        <v>257</v>
      </c>
      <c r="O537" s="708"/>
      <c r="P537" s="708"/>
      <c r="Q537" s="251"/>
      <c r="R537" s="251"/>
      <c r="S537" s="251"/>
      <c r="T537" s="251"/>
      <c r="U537" s="251"/>
      <c r="V537" s="251"/>
      <c r="W537" s="251"/>
      <c r="X537" s="251"/>
      <c r="Y537" s="251"/>
      <c r="Z537" s="251"/>
      <c r="AA537" s="251"/>
      <c r="AB537" s="251"/>
      <c r="AC537" s="251"/>
      <c r="AD537" s="251"/>
      <c r="AE537" s="251"/>
      <c r="AF537" s="252"/>
      <c r="AG537" s="109"/>
      <c r="AI537" s="109" t="str">
        <f>"64:chuusankanti_tiiki_code:" &amp; IF(I537="■",1,IF(M537="■",2,0))</f>
        <v>64:chuusankanti_tiiki_code:0</v>
      </c>
    </row>
    <row r="538" spans="1:35" ht="18.75" customHeight="1" x14ac:dyDescent="0.2">
      <c r="A538" s="139"/>
      <c r="B538" s="123"/>
      <c r="C538" s="237" t="s">
        <v>480</v>
      </c>
      <c r="D538" s="125" t="s">
        <v>383</v>
      </c>
      <c r="E538" s="128" t="s">
        <v>279</v>
      </c>
      <c r="F538" s="142"/>
      <c r="G538" s="143"/>
      <c r="H538" s="789"/>
      <c r="I538" s="696"/>
      <c r="J538" s="698"/>
      <c r="K538" s="698"/>
      <c r="L538" s="698"/>
      <c r="M538" s="696"/>
      <c r="N538" s="698"/>
      <c r="O538" s="698"/>
      <c r="P538" s="698"/>
      <c r="Q538" s="152"/>
      <c r="R538" s="152"/>
      <c r="S538" s="152"/>
      <c r="T538" s="152"/>
      <c r="U538" s="152"/>
      <c r="V538" s="152"/>
      <c r="W538" s="152"/>
      <c r="X538" s="152"/>
      <c r="Y538" s="152"/>
      <c r="Z538" s="152"/>
      <c r="AA538" s="152"/>
      <c r="AB538" s="152"/>
      <c r="AC538" s="152"/>
      <c r="AD538" s="152"/>
      <c r="AE538" s="152"/>
      <c r="AF538" s="153"/>
      <c r="AI538" s="109"/>
    </row>
    <row r="539" spans="1:35" ht="18.75" customHeight="1" x14ac:dyDescent="0.2">
      <c r="A539" s="139"/>
      <c r="B539" s="123"/>
      <c r="C539" s="237"/>
      <c r="D539" s="125" t="s">
        <v>383</v>
      </c>
      <c r="E539" s="128" t="s">
        <v>280</v>
      </c>
      <c r="F539" s="142"/>
      <c r="G539" s="143"/>
      <c r="H539" s="834" t="s">
        <v>210</v>
      </c>
      <c r="I539" s="707" t="s">
        <v>383</v>
      </c>
      <c r="J539" s="708" t="s">
        <v>256</v>
      </c>
      <c r="K539" s="708"/>
      <c r="L539" s="708"/>
      <c r="M539" s="707" t="s">
        <v>383</v>
      </c>
      <c r="N539" s="708" t="s">
        <v>257</v>
      </c>
      <c r="O539" s="708"/>
      <c r="P539" s="708"/>
      <c r="Q539" s="251"/>
      <c r="R539" s="251"/>
      <c r="S539" s="251"/>
      <c r="T539" s="251"/>
      <c r="U539" s="251"/>
      <c r="V539" s="251"/>
      <c r="W539" s="251"/>
      <c r="X539" s="251"/>
      <c r="Y539" s="251"/>
      <c r="Z539" s="251"/>
      <c r="AA539" s="251"/>
      <c r="AB539" s="251"/>
      <c r="AC539" s="251"/>
      <c r="AD539" s="251"/>
      <c r="AE539" s="251"/>
      <c r="AF539" s="252"/>
      <c r="AI539" s="109" t="str">
        <f>"64:chuusankanti_kibo_code:" &amp; IF(I539="■",1,IF(M539="■",2,0))</f>
        <v>64:chuusankanti_kibo_code:0</v>
      </c>
    </row>
    <row r="540" spans="1:35" ht="18.75" customHeight="1" x14ac:dyDescent="0.2">
      <c r="A540" s="183"/>
      <c r="B540" s="184"/>
      <c r="C540" s="264"/>
      <c r="D540" s="188"/>
      <c r="E540" s="187"/>
      <c r="F540" s="188"/>
      <c r="G540" s="189"/>
      <c r="H540" s="835"/>
      <c r="I540" s="766"/>
      <c r="J540" s="753"/>
      <c r="K540" s="753"/>
      <c r="L540" s="753"/>
      <c r="M540" s="766"/>
      <c r="N540" s="753"/>
      <c r="O540" s="753"/>
      <c r="P540" s="753"/>
      <c r="Q540" s="212"/>
      <c r="R540" s="212"/>
      <c r="S540" s="212"/>
      <c r="T540" s="212"/>
      <c r="U540" s="212"/>
      <c r="V540" s="212"/>
      <c r="W540" s="212"/>
      <c r="X540" s="212"/>
      <c r="Y540" s="212"/>
      <c r="Z540" s="212"/>
      <c r="AA540" s="212"/>
      <c r="AB540" s="212"/>
      <c r="AC540" s="212"/>
      <c r="AD540" s="212"/>
      <c r="AE540" s="212"/>
      <c r="AF540" s="213"/>
    </row>
    <row r="541" spans="1:35" ht="8.25" customHeight="1" x14ac:dyDescent="0.2">
      <c r="A541" s="287"/>
      <c r="B541" s="287"/>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row>
    <row r="542" spans="1:35" ht="20.25" customHeight="1" x14ac:dyDescent="0.2">
      <c r="A542" s="286"/>
      <c r="B542" s="286"/>
      <c r="C542" s="2" t="s">
        <v>180</v>
      </c>
      <c r="D542" s="126"/>
      <c r="E542" s="287"/>
      <c r="F542" s="287"/>
      <c r="G542" s="287"/>
      <c r="H542" s="287"/>
      <c r="I542" s="287"/>
      <c r="J542" s="287"/>
      <c r="K542" s="287"/>
      <c r="L542" s="287"/>
      <c r="M542" s="287"/>
      <c r="N542" s="287"/>
      <c r="O542" s="287"/>
      <c r="P542" s="287"/>
      <c r="Q542" s="287"/>
      <c r="R542" s="287"/>
      <c r="S542" s="287"/>
      <c r="T542" s="287"/>
      <c r="U542" s="287"/>
      <c r="V542" s="287"/>
    </row>
  </sheetData>
  <mergeCells count="321">
    <mergeCell ref="I512:I514"/>
    <mergeCell ref="M512:M514"/>
    <mergeCell ref="J512:L514"/>
    <mergeCell ref="N512:P514"/>
    <mergeCell ref="AC515:AF520"/>
    <mergeCell ref="H352:H353"/>
    <mergeCell ref="H377:H378"/>
    <mergeCell ref="H397:H398"/>
    <mergeCell ref="H418:H419"/>
    <mergeCell ref="H443:H444"/>
    <mergeCell ref="H468:H469"/>
    <mergeCell ref="H489:H490"/>
    <mergeCell ref="H504:H505"/>
    <mergeCell ref="H130:H131"/>
    <mergeCell ref="H154:H155"/>
    <mergeCell ref="H177:H178"/>
    <mergeCell ref="H197:H198"/>
    <mergeCell ref="H216:H217"/>
    <mergeCell ref="H239:H240"/>
    <mergeCell ref="H263:H264"/>
    <mergeCell ref="H287:H288"/>
    <mergeCell ref="H307:H308"/>
    <mergeCell ref="H19:H20"/>
    <mergeCell ref="AC21:AF34"/>
    <mergeCell ref="AC35:AF44"/>
    <mergeCell ref="H63:H64"/>
    <mergeCell ref="H381:H382"/>
    <mergeCell ref="H395:H396"/>
    <mergeCell ref="I395:I396"/>
    <mergeCell ref="J395:K396"/>
    <mergeCell ref="L395:L396"/>
    <mergeCell ref="M395:N396"/>
    <mergeCell ref="H354:H355"/>
    <mergeCell ref="AC112:AF131"/>
    <mergeCell ref="H113:H114"/>
    <mergeCell ref="H128:H129"/>
    <mergeCell ref="I128:I129"/>
    <mergeCell ref="J128:K129"/>
    <mergeCell ref="L128:L129"/>
    <mergeCell ref="M128:N129"/>
    <mergeCell ref="L375:L376"/>
    <mergeCell ref="M375:N376"/>
    <mergeCell ref="H330:H331"/>
    <mergeCell ref="AC330:AF353"/>
    <mergeCell ref="H332:H333"/>
    <mergeCell ref="H344:H345"/>
    <mergeCell ref="H346:H347"/>
    <mergeCell ref="H350:H351"/>
    <mergeCell ref="I350:I351"/>
    <mergeCell ref="J350:K351"/>
    <mergeCell ref="H399:H400"/>
    <mergeCell ref="AC399:AF419"/>
    <mergeCell ref="H401:H402"/>
    <mergeCell ref="H416:H417"/>
    <mergeCell ref="I416:I417"/>
    <mergeCell ref="J416:K417"/>
    <mergeCell ref="L416:L417"/>
    <mergeCell ref="M416:N417"/>
    <mergeCell ref="AC199:AF217"/>
    <mergeCell ref="H200:H201"/>
    <mergeCell ref="H214:H215"/>
    <mergeCell ref="I214:I215"/>
    <mergeCell ref="J214:K215"/>
    <mergeCell ref="L214:L215"/>
    <mergeCell ref="M214:N215"/>
    <mergeCell ref="H379:H380"/>
    <mergeCell ref="AC379:AF398"/>
    <mergeCell ref="AC354:AF378"/>
    <mergeCell ref="H356:H357"/>
    <mergeCell ref="H369:H370"/>
    <mergeCell ref="H371:H372"/>
    <mergeCell ref="H375:H376"/>
    <mergeCell ref="I375:I376"/>
    <mergeCell ref="J375:K376"/>
    <mergeCell ref="H537:H538"/>
    <mergeCell ref="I537:I538"/>
    <mergeCell ref="J537:L538"/>
    <mergeCell ref="M537:M538"/>
    <mergeCell ref="N537:P538"/>
    <mergeCell ref="H539:H540"/>
    <mergeCell ref="I539:I540"/>
    <mergeCell ref="J539:L540"/>
    <mergeCell ref="M539:M540"/>
    <mergeCell ref="N539:P540"/>
    <mergeCell ref="H531:H532"/>
    <mergeCell ref="I531:I532"/>
    <mergeCell ref="J531:L532"/>
    <mergeCell ref="M531:M532"/>
    <mergeCell ref="N531:P532"/>
    <mergeCell ref="H533:H534"/>
    <mergeCell ref="I533:I534"/>
    <mergeCell ref="J533:L534"/>
    <mergeCell ref="M533:M534"/>
    <mergeCell ref="N533:P534"/>
    <mergeCell ref="S524:V524"/>
    <mergeCell ref="A526:C526"/>
    <mergeCell ref="D526:E526"/>
    <mergeCell ref="F526:G526"/>
    <mergeCell ref="H526:AF526"/>
    <mergeCell ref="A527:C528"/>
    <mergeCell ref="H527:H528"/>
    <mergeCell ref="H518:H519"/>
    <mergeCell ref="I518:I519"/>
    <mergeCell ref="J518:L519"/>
    <mergeCell ref="M518:M519"/>
    <mergeCell ref="N518:P519"/>
    <mergeCell ref="A522:AF522"/>
    <mergeCell ref="A524:E524"/>
    <mergeCell ref="F524:J524"/>
    <mergeCell ref="K524:R524"/>
    <mergeCell ref="N510:P511"/>
    <mergeCell ref="H512:H514"/>
    <mergeCell ref="AC512:AF514"/>
    <mergeCell ref="H516:H517"/>
    <mergeCell ref="I516:I517"/>
    <mergeCell ref="J516:L517"/>
    <mergeCell ref="M516:M517"/>
    <mergeCell ref="N516:P517"/>
    <mergeCell ref="AC506:AF511"/>
    <mergeCell ref="H508:H509"/>
    <mergeCell ref="I508:I509"/>
    <mergeCell ref="J508:L509"/>
    <mergeCell ref="M508:M509"/>
    <mergeCell ref="N508:P509"/>
    <mergeCell ref="H510:H511"/>
    <mergeCell ref="I510:I511"/>
    <mergeCell ref="J510:L511"/>
    <mergeCell ref="M510:M511"/>
    <mergeCell ref="H470:H471"/>
    <mergeCell ref="AC470:AF490"/>
    <mergeCell ref="H472:H473"/>
    <mergeCell ref="H487:H488"/>
    <mergeCell ref="I487:I488"/>
    <mergeCell ref="J487:K488"/>
    <mergeCell ref="L487:L488"/>
    <mergeCell ref="M487:N488"/>
    <mergeCell ref="H445:H446"/>
    <mergeCell ref="AC445:AF469"/>
    <mergeCell ref="H447:H448"/>
    <mergeCell ref="H460:H461"/>
    <mergeCell ref="H462:H463"/>
    <mergeCell ref="H466:H467"/>
    <mergeCell ref="I466:I467"/>
    <mergeCell ref="J466:K467"/>
    <mergeCell ref="L466:L467"/>
    <mergeCell ref="M466:N467"/>
    <mergeCell ref="H420:H421"/>
    <mergeCell ref="AC420:AF444"/>
    <mergeCell ref="H422:H423"/>
    <mergeCell ref="H435:H436"/>
    <mergeCell ref="H437:H438"/>
    <mergeCell ref="H441:H442"/>
    <mergeCell ref="I441:I442"/>
    <mergeCell ref="J441:K442"/>
    <mergeCell ref="L441:L442"/>
    <mergeCell ref="M441:N442"/>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265:H266"/>
    <mergeCell ref="AC265:AF288"/>
    <mergeCell ref="H279:H280"/>
    <mergeCell ref="H282:H283"/>
    <mergeCell ref="H285:H286"/>
    <mergeCell ref="I285:I286"/>
    <mergeCell ref="J285:K286"/>
    <mergeCell ref="L285:L286"/>
    <mergeCell ref="M285:N286"/>
    <mergeCell ref="H241:H242"/>
    <mergeCell ref="AC241:AF264"/>
    <mergeCell ref="H255:H256"/>
    <mergeCell ref="H258:H259"/>
    <mergeCell ref="H261:H262"/>
    <mergeCell ref="I261:I262"/>
    <mergeCell ref="J261:K262"/>
    <mergeCell ref="L261:L262"/>
    <mergeCell ref="M261:N262"/>
    <mergeCell ref="H218:H219"/>
    <mergeCell ref="AC218:AF240"/>
    <mergeCell ref="H231:H232"/>
    <mergeCell ref="H234:H235"/>
    <mergeCell ref="H237:H238"/>
    <mergeCell ref="I237:I238"/>
    <mergeCell ref="J237:K238"/>
    <mergeCell ref="L237:L238"/>
    <mergeCell ref="M237:N238"/>
    <mergeCell ref="AC179:AF198"/>
    <mergeCell ref="H180:H181"/>
    <mergeCell ref="H195:H196"/>
    <mergeCell ref="I195:I196"/>
    <mergeCell ref="J195:K196"/>
    <mergeCell ref="L195:L196"/>
    <mergeCell ref="M195:N196"/>
    <mergeCell ref="AC132:AF155"/>
    <mergeCell ref="H133:H134"/>
    <mergeCell ref="H152:H153"/>
    <mergeCell ref="I152:I153"/>
    <mergeCell ref="J152:K153"/>
    <mergeCell ref="L152:L153"/>
    <mergeCell ref="M152:N153"/>
    <mergeCell ref="AC156:AF178"/>
    <mergeCell ref="H157:H158"/>
    <mergeCell ref="H175:H176"/>
    <mergeCell ref="I175:I176"/>
    <mergeCell ref="J175:K176"/>
    <mergeCell ref="L175:L176"/>
    <mergeCell ref="M175:N176"/>
    <mergeCell ref="AC91:AF111"/>
    <mergeCell ref="H92:H93"/>
    <mergeCell ref="H108:H109"/>
    <mergeCell ref="I108:I109"/>
    <mergeCell ref="J108:K109"/>
    <mergeCell ref="L108:L109"/>
    <mergeCell ref="M108:N109"/>
    <mergeCell ref="P85:Q86"/>
    <mergeCell ref="R85:R86"/>
    <mergeCell ref="S85:T86"/>
    <mergeCell ref="H87:H88"/>
    <mergeCell ref="I87:I88"/>
    <mergeCell ref="J87:K88"/>
    <mergeCell ref="L87:L88"/>
    <mergeCell ref="M87:N88"/>
    <mergeCell ref="H89:H90"/>
    <mergeCell ref="H110:H111"/>
    <mergeCell ref="O83:O84"/>
    <mergeCell ref="P83:Q84"/>
    <mergeCell ref="R83:R84"/>
    <mergeCell ref="S83:T84"/>
    <mergeCell ref="H85:H86"/>
    <mergeCell ref="I85:I86"/>
    <mergeCell ref="J85:K86"/>
    <mergeCell ref="L85:L86"/>
    <mergeCell ref="M85:N86"/>
    <mergeCell ref="O85:O86"/>
    <mergeCell ref="H71:H72"/>
    <mergeCell ref="J71:K72"/>
    <mergeCell ref="L71:L72"/>
    <mergeCell ref="M71:N72"/>
    <mergeCell ref="H83:H84"/>
    <mergeCell ref="I83:I84"/>
    <mergeCell ref="J83:K84"/>
    <mergeCell ref="L83:L84"/>
    <mergeCell ref="M83:N84"/>
    <mergeCell ref="M48:M49"/>
    <mergeCell ref="N48:P49"/>
    <mergeCell ref="J50:K50"/>
    <mergeCell ref="M50:N50"/>
    <mergeCell ref="H52:H53"/>
    <mergeCell ref="AC52:AF64"/>
    <mergeCell ref="J60:K60"/>
    <mergeCell ref="M60:N60"/>
    <mergeCell ref="N40:P41"/>
    <mergeCell ref="AC45:AF51"/>
    <mergeCell ref="H46:H47"/>
    <mergeCell ref="I46:I47"/>
    <mergeCell ref="J46:L47"/>
    <mergeCell ref="M46:M47"/>
    <mergeCell ref="N46:P47"/>
    <mergeCell ref="H48:H49"/>
    <mergeCell ref="I48:I49"/>
    <mergeCell ref="J48:L49"/>
    <mergeCell ref="H38:H39"/>
    <mergeCell ref="I38:I39"/>
    <mergeCell ref="J38:L39"/>
    <mergeCell ref="M38:M39"/>
    <mergeCell ref="N38:P39"/>
    <mergeCell ref="H24:H25"/>
    <mergeCell ref="I24:I25"/>
    <mergeCell ref="J24:L25"/>
    <mergeCell ref="M24:M25"/>
    <mergeCell ref="H40:H41"/>
    <mergeCell ref="I40:I41"/>
    <mergeCell ref="J40:L41"/>
    <mergeCell ref="M40:M41"/>
    <mergeCell ref="N24:P25"/>
    <mergeCell ref="H26:H27"/>
    <mergeCell ref="I26:I27"/>
    <mergeCell ref="J26:L27"/>
    <mergeCell ref="M26:M27"/>
    <mergeCell ref="N26:P27"/>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A5:E5"/>
    <mergeCell ref="F5:J5"/>
    <mergeCell ref="K5:R5"/>
  </mergeCells>
  <phoneticPr fontId="1"/>
  <conditionalFormatting sqref="A22:AB32 A36:AB42 A33:X33 Y33:AB34 A21:AC21 A43:X43 Y43:AB44 A35:AC35 A45:AF61 H63:H64 H62:AF62 A62:G64 Y63:AF64 A65:AF88 Y89:AF90 A89:H90 A91:AF109 A112:AF129 A132:AF153 A156:AF176 A179:AF196 A199:AF215 A218:AF238 A241:AF262 A265:AF286 A289:AF306 A309:AF327 A330:AF351 A354:AF376 A379:AF396 A399:AF417 A420:AF442 A445:AF467 A470:AF488 A491:AF503 A506:AF511 A513:H515 A512:J512 Q512:AF514 A521:AF523 Q515:AC515 A516:AB520">
    <cfRule type="expression" dxfId="154" priority="133">
      <formula>CELL("protect",A21)=0</formula>
    </cfRule>
  </conditionalFormatting>
  <conditionalFormatting sqref="A1:AF4 A6:AF17 A525:AF1048576 S524:AF524 H19:H20 H18:AF18 A18:G20 Y19:AF20">
    <cfRule type="expression" dxfId="153" priority="128">
      <formula>CELL("protect",A1)=0</formula>
    </cfRule>
  </conditionalFormatting>
  <conditionalFormatting sqref="S5:AF5">
    <cfRule type="expression" dxfId="152" priority="127">
      <formula>CELL("protect",S5)=0</formula>
    </cfRule>
  </conditionalFormatting>
  <conditionalFormatting sqref="A5:R5">
    <cfRule type="expression" dxfId="151" priority="126">
      <formula>CELL("protect",A5)=0</formula>
    </cfRule>
  </conditionalFormatting>
  <conditionalFormatting sqref="A524:R524">
    <cfRule type="expression" dxfId="150" priority="125">
      <formula>CELL("protect",A524)=0</formula>
    </cfRule>
  </conditionalFormatting>
  <conditionalFormatting sqref="I19:I20">
    <cfRule type="expression" dxfId="149" priority="124">
      <formula>CELL("protect",I19)=0</formula>
    </cfRule>
  </conditionalFormatting>
  <conditionalFormatting sqref="M19:M20">
    <cfRule type="expression" dxfId="148" priority="123">
      <formula>CELL("protect",M19)=0</formula>
    </cfRule>
  </conditionalFormatting>
  <conditionalFormatting sqref="Q19:Q20">
    <cfRule type="expression" dxfId="147" priority="122">
      <formula>CELL("protect",Q19)=0</formula>
    </cfRule>
  </conditionalFormatting>
  <conditionalFormatting sqref="U20">
    <cfRule type="expression" dxfId="146" priority="121">
      <formula>CELL("protect",U20)=0</formula>
    </cfRule>
  </conditionalFormatting>
  <conditionalFormatting sqref="I34">
    <cfRule type="expression" dxfId="144" priority="117">
      <formula>CELL("protect",I34)=0</formula>
    </cfRule>
  </conditionalFormatting>
  <conditionalFormatting sqref="L34">
    <cfRule type="expression" dxfId="143" priority="116">
      <formula>CELL("protect",L34)=0</formula>
    </cfRule>
  </conditionalFormatting>
  <conditionalFormatting sqref="I44">
    <cfRule type="expression" dxfId="142" priority="113">
      <formula>CELL("protect",I44)=0</formula>
    </cfRule>
  </conditionalFormatting>
  <conditionalFormatting sqref="L44">
    <cfRule type="expression" dxfId="141" priority="112">
      <formula>CELL("protect",L44)=0</formula>
    </cfRule>
  </conditionalFormatting>
  <conditionalFormatting sqref="U64">
    <cfRule type="expression" dxfId="140" priority="108">
      <formula>CELL("protect",U64)=0</formula>
    </cfRule>
  </conditionalFormatting>
  <conditionalFormatting sqref="I63:I64">
    <cfRule type="expression" dxfId="139" priority="111">
      <formula>CELL("protect",I63)=0</formula>
    </cfRule>
  </conditionalFormatting>
  <conditionalFormatting sqref="M63:M64">
    <cfRule type="expression" dxfId="138" priority="110">
      <formula>CELL("protect",M63)=0</formula>
    </cfRule>
  </conditionalFormatting>
  <conditionalFormatting sqref="Q63:Q64">
    <cfRule type="expression" dxfId="137" priority="109">
      <formula>CELL("protect",Q63)=0</formula>
    </cfRule>
  </conditionalFormatting>
  <conditionalFormatting sqref="U90">
    <cfRule type="expression" dxfId="136" priority="100">
      <formula>CELL("protect",U90)=0</formula>
    </cfRule>
  </conditionalFormatting>
  <conditionalFormatting sqref="I89:I90">
    <cfRule type="expression" dxfId="135" priority="103">
      <formula>CELL("protect",I89)=0</formula>
    </cfRule>
  </conditionalFormatting>
  <conditionalFormatting sqref="M89:M90">
    <cfRule type="expression" dxfId="134" priority="102">
      <formula>CELL("protect",M89)=0</formula>
    </cfRule>
  </conditionalFormatting>
  <conditionalFormatting sqref="Q89:Q90">
    <cfRule type="expression" dxfId="133" priority="101">
      <formula>CELL("protect",Q89)=0</formula>
    </cfRule>
  </conditionalFormatting>
  <conditionalFormatting sqref="Y110:AF111 A110:H111">
    <cfRule type="expression" dxfId="132" priority="99">
      <formula>CELL("protect",A110)=0</formula>
    </cfRule>
  </conditionalFormatting>
  <conditionalFormatting sqref="U111">
    <cfRule type="expression" dxfId="131" priority="95">
      <formula>CELL("protect",U111)=0</formula>
    </cfRule>
  </conditionalFormatting>
  <conditionalFormatting sqref="I110:I111">
    <cfRule type="expression" dxfId="130" priority="98">
      <formula>CELL("protect",I110)=0</formula>
    </cfRule>
  </conditionalFormatting>
  <conditionalFormatting sqref="M110:M111">
    <cfRule type="expression" dxfId="129" priority="97">
      <formula>CELL("protect",M110)=0</formula>
    </cfRule>
  </conditionalFormatting>
  <conditionalFormatting sqref="Q110:Q111">
    <cfRule type="expression" dxfId="128" priority="96">
      <formula>CELL("protect",Q110)=0</formula>
    </cfRule>
  </conditionalFormatting>
  <conditionalFormatting sqref="Y130:AF131 A130:H131">
    <cfRule type="expression" dxfId="127" priority="94">
      <formula>CELL("protect",A130)=0</formula>
    </cfRule>
  </conditionalFormatting>
  <conditionalFormatting sqref="U131">
    <cfRule type="expression" dxfId="126" priority="90">
      <formula>CELL("protect",U131)=0</formula>
    </cfRule>
  </conditionalFormatting>
  <conditionalFormatting sqref="I130:I131">
    <cfRule type="expression" dxfId="125" priority="93">
      <formula>CELL("protect",I130)=0</formula>
    </cfRule>
  </conditionalFormatting>
  <conditionalFormatting sqref="M130:M131">
    <cfRule type="expression" dxfId="124" priority="92">
      <formula>CELL("protect",M130)=0</formula>
    </cfRule>
  </conditionalFormatting>
  <conditionalFormatting sqref="Q130:Q131">
    <cfRule type="expression" dxfId="123" priority="91">
      <formula>CELL("protect",Q130)=0</formula>
    </cfRule>
  </conditionalFormatting>
  <conditionalFormatting sqref="Y154:AF155 A154:H155">
    <cfRule type="expression" dxfId="122" priority="89">
      <formula>CELL("protect",A154)=0</formula>
    </cfRule>
  </conditionalFormatting>
  <conditionalFormatting sqref="U155">
    <cfRule type="expression" dxfId="121" priority="85">
      <formula>CELL("protect",U155)=0</formula>
    </cfRule>
  </conditionalFormatting>
  <conditionalFormatting sqref="I154:I155">
    <cfRule type="expression" dxfId="120" priority="88">
      <formula>CELL("protect",I154)=0</formula>
    </cfRule>
  </conditionalFormatting>
  <conditionalFormatting sqref="M154:M155">
    <cfRule type="expression" dxfId="119" priority="87">
      <formula>CELL("protect",M154)=0</formula>
    </cfRule>
  </conditionalFormatting>
  <conditionalFormatting sqref="Q154:Q155">
    <cfRule type="expression" dxfId="118" priority="86">
      <formula>CELL("protect",Q154)=0</formula>
    </cfRule>
  </conditionalFormatting>
  <conditionalFormatting sqref="Y177:AF178 A177:H178">
    <cfRule type="expression" dxfId="117" priority="84">
      <formula>CELL("protect",A177)=0</formula>
    </cfRule>
  </conditionalFormatting>
  <conditionalFormatting sqref="U178">
    <cfRule type="expression" dxfId="116" priority="80">
      <formula>CELL("protect",U178)=0</formula>
    </cfRule>
  </conditionalFormatting>
  <conditionalFormatting sqref="I177:I178">
    <cfRule type="expression" dxfId="115" priority="83">
      <formula>CELL("protect",I177)=0</formula>
    </cfRule>
  </conditionalFormatting>
  <conditionalFormatting sqref="M177:M178">
    <cfRule type="expression" dxfId="114" priority="82">
      <formula>CELL("protect",M177)=0</formula>
    </cfRule>
  </conditionalFormatting>
  <conditionalFormatting sqref="Q177:Q178">
    <cfRule type="expression" dxfId="113" priority="81">
      <formula>CELL("protect",Q177)=0</formula>
    </cfRule>
  </conditionalFormatting>
  <conditionalFormatting sqref="Y197:AF198 A197:H198">
    <cfRule type="expression" dxfId="112" priority="79">
      <formula>CELL("protect",A197)=0</formula>
    </cfRule>
  </conditionalFormatting>
  <conditionalFormatting sqref="U198">
    <cfRule type="expression" dxfId="111" priority="75">
      <formula>CELL("protect",U198)=0</formula>
    </cfRule>
  </conditionalFormatting>
  <conditionalFormatting sqref="I197:I198">
    <cfRule type="expression" dxfId="110" priority="78">
      <formula>CELL("protect",I197)=0</formula>
    </cfRule>
  </conditionalFormatting>
  <conditionalFormatting sqref="M197:M198">
    <cfRule type="expression" dxfId="109" priority="77">
      <formula>CELL("protect",M197)=0</formula>
    </cfRule>
  </conditionalFormatting>
  <conditionalFormatting sqref="Q197:Q198">
    <cfRule type="expression" dxfId="108" priority="76">
      <formula>CELL("protect",Q197)=0</formula>
    </cfRule>
  </conditionalFormatting>
  <conditionalFormatting sqref="Y216:AF217 A216:H217">
    <cfRule type="expression" dxfId="107" priority="74">
      <formula>CELL("protect",A216)=0</formula>
    </cfRule>
  </conditionalFormatting>
  <conditionalFormatting sqref="U217">
    <cfRule type="expression" dxfId="106" priority="70">
      <formula>CELL("protect",U217)=0</formula>
    </cfRule>
  </conditionalFormatting>
  <conditionalFormatting sqref="I216:I217">
    <cfRule type="expression" dxfId="105" priority="73">
      <formula>CELL("protect",I216)=0</formula>
    </cfRule>
  </conditionalFormatting>
  <conditionalFormatting sqref="M216:M217">
    <cfRule type="expression" dxfId="104" priority="72">
      <formula>CELL("protect",M216)=0</formula>
    </cfRule>
  </conditionalFormatting>
  <conditionalFormatting sqref="Q216:Q217">
    <cfRule type="expression" dxfId="103" priority="71">
      <formula>CELL("protect",Q216)=0</formula>
    </cfRule>
  </conditionalFormatting>
  <conditionalFormatting sqref="Y239:AF240 A239:H240">
    <cfRule type="expression" dxfId="102" priority="69">
      <formula>CELL("protect",A239)=0</formula>
    </cfRule>
  </conditionalFormatting>
  <conditionalFormatting sqref="U240">
    <cfRule type="expression" dxfId="101" priority="65">
      <formula>CELL("protect",U240)=0</formula>
    </cfRule>
  </conditionalFormatting>
  <conditionalFormatting sqref="I239:I240">
    <cfRule type="expression" dxfId="100" priority="68">
      <formula>CELL("protect",I239)=0</formula>
    </cfRule>
  </conditionalFormatting>
  <conditionalFormatting sqref="M239:M240">
    <cfRule type="expression" dxfId="99" priority="67">
      <formula>CELL("protect",M239)=0</formula>
    </cfRule>
  </conditionalFormatting>
  <conditionalFormatting sqref="Q239:Q240">
    <cfRule type="expression" dxfId="98" priority="66">
      <formula>CELL("protect",Q239)=0</formula>
    </cfRule>
  </conditionalFormatting>
  <conditionalFormatting sqref="Y263:AF264 A263:H264">
    <cfRule type="expression" dxfId="97" priority="64">
      <formula>CELL("protect",A263)=0</formula>
    </cfRule>
  </conditionalFormatting>
  <conditionalFormatting sqref="U264">
    <cfRule type="expression" dxfId="96" priority="60">
      <formula>CELL("protect",U264)=0</formula>
    </cfRule>
  </conditionalFormatting>
  <conditionalFormatting sqref="I263:I264">
    <cfRule type="expression" dxfId="95" priority="63">
      <formula>CELL("protect",I263)=0</formula>
    </cfRule>
  </conditionalFormatting>
  <conditionalFormatting sqref="M263:M264">
    <cfRule type="expression" dxfId="94" priority="62">
      <formula>CELL("protect",M263)=0</formula>
    </cfRule>
  </conditionalFormatting>
  <conditionalFormatting sqref="Q263:Q264">
    <cfRule type="expression" dxfId="93" priority="61">
      <formula>CELL("protect",Q263)=0</formula>
    </cfRule>
  </conditionalFormatting>
  <conditionalFormatting sqref="Y287:AF288 A287:H288">
    <cfRule type="expression" dxfId="92" priority="59">
      <formula>CELL("protect",A287)=0</formula>
    </cfRule>
  </conditionalFormatting>
  <conditionalFormatting sqref="U288">
    <cfRule type="expression" dxfId="91" priority="55">
      <formula>CELL("protect",U288)=0</formula>
    </cfRule>
  </conditionalFormatting>
  <conditionalFormatting sqref="I287:I288">
    <cfRule type="expression" dxfId="90" priority="58">
      <formula>CELL("protect",I287)=0</formula>
    </cfRule>
  </conditionalFormatting>
  <conditionalFormatting sqref="M287:M288">
    <cfRule type="expression" dxfId="89" priority="57">
      <formula>CELL("protect",M287)=0</formula>
    </cfRule>
  </conditionalFormatting>
  <conditionalFormatting sqref="Q287:Q288">
    <cfRule type="expression" dxfId="88" priority="56">
      <formula>CELL("protect",Q287)=0</formula>
    </cfRule>
  </conditionalFormatting>
  <conditionalFormatting sqref="Y307:AF308 A307:H308">
    <cfRule type="expression" dxfId="87" priority="54">
      <formula>CELL("protect",A307)=0</formula>
    </cfRule>
  </conditionalFormatting>
  <conditionalFormatting sqref="U308">
    <cfRule type="expression" dxfId="86" priority="50">
      <formula>CELL("protect",U308)=0</formula>
    </cfRule>
  </conditionalFormatting>
  <conditionalFormatting sqref="I307:I308">
    <cfRule type="expression" dxfId="85" priority="53">
      <formula>CELL("protect",I307)=0</formula>
    </cfRule>
  </conditionalFormatting>
  <conditionalFormatting sqref="M307:M308">
    <cfRule type="expression" dxfId="84" priority="52">
      <formula>CELL("protect",M307)=0</formula>
    </cfRule>
  </conditionalFormatting>
  <conditionalFormatting sqref="Q307:Q308">
    <cfRule type="expression" dxfId="83" priority="51">
      <formula>CELL("protect",Q307)=0</formula>
    </cfRule>
  </conditionalFormatting>
  <conditionalFormatting sqref="Y328:AF329 A328:H329">
    <cfRule type="expression" dxfId="82" priority="49">
      <formula>CELL("protect",A328)=0</formula>
    </cfRule>
  </conditionalFormatting>
  <conditionalFormatting sqref="U329">
    <cfRule type="expression" dxfId="81" priority="45">
      <formula>CELL("protect",U329)=0</formula>
    </cfRule>
  </conditionalFormatting>
  <conditionalFormatting sqref="I328:I329">
    <cfRule type="expression" dxfId="80" priority="48">
      <formula>CELL("protect",I328)=0</formula>
    </cfRule>
  </conditionalFormatting>
  <conditionalFormatting sqref="M328:M329">
    <cfRule type="expression" dxfId="79" priority="47">
      <formula>CELL("protect",M328)=0</formula>
    </cfRule>
  </conditionalFormatting>
  <conditionalFormatting sqref="Q328:Q329">
    <cfRule type="expression" dxfId="78" priority="46">
      <formula>CELL("protect",Q328)=0</formula>
    </cfRule>
  </conditionalFormatting>
  <conditionalFormatting sqref="Y352:AF353 A352:H353">
    <cfRule type="expression" dxfId="77" priority="44">
      <formula>CELL("protect",A352)=0</formula>
    </cfRule>
  </conditionalFormatting>
  <conditionalFormatting sqref="U353">
    <cfRule type="expression" dxfId="76" priority="40">
      <formula>CELL("protect",U353)=0</formula>
    </cfRule>
  </conditionalFormatting>
  <conditionalFormatting sqref="I352:I353">
    <cfRule type="expression" dxfId="75" priority="43">
      <formula>CELL("protect",I352)=0</formula>
    </cfRule>
  </conditionalFormatting>
  <conditionalFormatting sqref="M352:M353">
    <cfRule type="expression" dxfId="74" priority="42">
      <formula>CELL("protect",M352)=0</formula>
    </cfRule>
  </conditionalFormatting>
  <conditionalFormatting sqref="Q352:Q353">
    <cfRule type="expression" dxfId="73" priority="41">
      <formula>CELL("protect",Q352)=0</formula>
    </cfRule>
  </conditionalFormatting>
  <conditionalFormatting sqref="Y377:AF378 A377:H378">
    <cfRule type="expression" dxfId="72" priority="39">
      <formula>CELL("protect",A377)=0</formula>
    </cfRule>
  </conditionalFormatting>
  <conditionalFormatting sqref="U378">
    <cfRule type="expression" dxfId="71" priority="35">
      <formula>CELL("protect",U378)=0</formula>
    </cfRule>
  </conditionalFormatting>
  <conditionalFormatting sqref="I377:I378">
    <cfRule type="expression" dxfId="70" priority="38">
      <formula>CELL("protect",I377)=0</formula>
    </cfRule>
  </conditionalFormatting>
  <conditionalFormatting sqref="M377:M378">
    <cfRule type="expression" dxfId="69" priority="37">
      <formula>CELL("protect",M377)=0</formula>
    </cfRule>
  </conditionalFormatting>
  <conditionalFormatting sqref="Q377:Q378">
    <cfRule type="expression" dxfId="68" priority="36">
      <formula>CELL("protect",Q377)=0</formula>
    </cfRule>
  </conditionalFormatting>
  <conditionalFormatting sqref="Y397:AF398 A397:H398">
    <cfRule type="expression" dxfId="67" priority="34">
      <formula>CELL("protect",A397)=0</formula>
    </cfRule>
  </conditionalFormatting>
  <conditionalFormatting sqref="U398">
    <cfRule type="expression" dxfId="66" priority="30">
      <formula>CELL("protect",U398)=0</formula>
    </cfRule>
  </conditionalFormatting>
  <conditionalFormatting sqref="I397:I398">
    <cfRule type="expression" dxfId="65" priority="33">
      <formula>CELL("protect",I397)=0</formula>
    </cfRule>
  </conditionalFormatting>
  <conditionalFormatting sqref="M397:M398">
    <cfRule type="expression" dxfId="64" priority="32">
      <formula>CELL("protect",M397)=0</formula>
    </cfRule>
  </conditionalFormatting>
  <conditionalFormatting sqref="Q397:Q398">
    <cfRule type="expression" dxfId="63" priority="31">
      <formula>CELL("protect",Q397)=0</formula>
    </cfRule>
  </conditionalFormatting>
  <conditionalFormatting sqref="Y418:AF419 A418:H419">
    <cfRule type="expression" dxfId="62" priority="29">
      <formula>CELL("protect",A418)=0</formula>
    </cfRule>
  </conditionalFormatting>
  <conditionalFormatting sqref="U419">
    <cfRule type="expression" dxfId="61" priority="25">
      <formula>CELL("protect",U419)=0</formula>
    </cfRule>
  </conditionalFormatting>
  <conditionalFormatting sqref="I418:I419">
    <cfRule type="expression" dxfId="60" priority="28">
      <formula>CELL("protect",I418)=0</formula>
    </cfRule>
  </conditionalFormatting>
  <conditionalFormatting sqref="M418:M419">
    <cfRule type="expression" dxfId="59" priority="27">
      <formula>CELL("protect",M418)=0</formula>
    </cfRule>
  </conditionalFormatting>
  <conditionalFormatting sqref="Q418:Q419">
    <cfRule type="expression" dxfId="58" priority="26">
      <formula>CELL("protect",Q418)=0</formula>
    </cfRule>
  </conditionalFormatting>
  <conditionalFormatting sqref="Y443:AF444 A443:H444">
    <cfRule type="expression" dxfId="57" priority="24">
      <formula>CELL("protect",A443)=0</formula>
    </cfRule>
  </conditionalFormatting>
  <conditionalFormatting sqref="U444">
    <cfRule type="expression" dxfId="56" priority="20">
      <formula>CELL("protect",U444)=0</formula>
    </cfRule>
  </conditionalFormatting>
  <conditionalFormatting sqref="I443:I444">
    <cfRule type="expression" dxfId="55" priority="23">
      <formula>CELL("protect",I443)=0</formula>
    </cfRule>
  </conditionalFormatting>
  <conditionalFormatting sqref="M443:M444">
    <cfRule type="expression" dxfId="54" priority="22">
      <formula>CELL("protect",M443)=0</formula>
    </cfRule>
  </conditionalFormatting>
  <conditionalFormatting sqref="Q443:Q444">
    <cfRule type="expression" dxfId="53" priority="21">
      <formula>CELL("protect",Q443)=0</formula>
    </cfRule>
  </conditionalFormatting>
  <conditionalFormatting sqref="Y468:AF469 A468:H469">
    <cfRule type="expression" dxfId="52" priority="19">
      <formula>CELL("protect",A468)=0</formula>
    </cfRule>
  </conditionalFormatting>
  <conditionalFormatting sqref="U469">
    <cfRule type="expression" dxfId="51" priority="15">
      <formula>CELL("protect",U469)=0</formula>
    </cfRule>
  </conditionalFormatting>
  <conditionalFormatting sqref="I468:I469">
    <cfRule type="expression" dxfId="50" priority="18">
      <formula>CELL("protect",I468)=0</formula>
    </cfRule>
  </conditionalFormatting>
  <conditionalFormatting sqref="M468:M469">
    <cfRule type="expression" dxfId="49" priority="17">
      <formula>CELL("protect",M468)=0</formula>
    </cfRule>
  </conditionalFormatting>
  <conditionalFormatting sqref="Q468:Q469">
    <cfRule type="expression" dxfId="48" priority="16">
      <formula>CELL("protect",Q468)=0</formula>
    </cfRule>
  </conditionalFormatting>
  <conditionalFormatting sqref="Y489:AF490 A489:H490">
    <cfRule type="expression" dxfId="47" priority="14">
      <formula>CELL("protect",A489)=0</formula>
    </cfRule>
  </conditionalFormatting>
  <conditionalFormatting sqref="U490">
    <cfRule type="expression" dxfId="46" priority="10">
      <formula>CELL("protect",U490)=0</formula>
    </cfRule>
  </conditionalFormatting>
  <conditionalFormatting sqref="I489:I490">
    <cfRule type="expression" dxfId="45" priority="13">
      <formula>CELL("protect",I489)=0</formula>
    </cfRule>
  </conditionalFormatting>
  <conditionalFormatting sqref="M489:M490">
    <cfRule type="expression" dxfId="44" priority="12">
      <formula>CELL("protect",M489)=0</formula>
    </cfRule>
  </conditionalFormatting>
  <conditionalFormatting sqref="Q489:Q490">
    <cfRule type="expression" dxfId="43" priority="11">
      <formula>CELL("protect",Q489)=0</formula>
    </cfRule>
  </conditionalFormatting>
  <conditionalFormatting sqref="Y504:AF505 A504:H505">
    <cfRule type="expression" dxfId="42" priority="9">
      <formula>CELL("protect",A504)=0</formula>
    </cfRule>
  </conditionalFormatting>
  <conditionalFormatting sqref="U505">
    <cfRule type="expression" dxfId="41" priority="5">
      <formula>CELL("protect",U505)=0</formula>
    </cfRule>
  </conditionalFormatting>
  <conditionalFormatting sqref="I504:I505">
    <cfRule type="expression" dxfId="40" priority="8">
      <formula>CELL("protect",I504)=0</formula>
    </cfRule>
  </conditionalFormatting>
  <conditionalFormatting sqref="M504:M505">
    <cfRule type="expression" dxfId="39" priority="7">
      <formula>CELL("protect",M504)=0</formula>
    </cfRule>
  </conditionalFormatting>
  <conditionalFormatting sqref="Q504:Q505">
    <cfRule type="expression" dxfId="38" priority="6">
      <formula>CELL("protect",Q504)=0</formula>
    </cfRule>
  </conditionalFormatting>
  <conditionalFormatting sqref="M512">
    <cfRule type="expression" dxfId="37" priority="4">
      <formula>CELL("protect",M512)=0</formula>
    </cfRule>
  </conditionalFormatting>
  <conditionalFormatting sqref="N512">
    <cfRule type="expression" dxfId="36" priority="3">
      <formula>CELL("protect",N512)=0</formula>
    </cfRule>
  </conditionalFormatting>
  <conditionalFormatting sqref="I515:O515">
    <cfRule type="expression" dxfId="35" priority="1">
      <formula>CELL("protect",I515)=0</formula>
    </cfRule>
  </conditionalFormatting>
  <dataValidations count="1">
    <dataValidation type="list" allowBlank="1" showInputMessage="1" showErrorMessage="1" sqref="Q8:Q9 U8:U9 L12 M13:M16 L23 M24:M27 L37 A508 U505 D27:D28 U52 Q66 L71:L77 O74 M78 Y65:Y66 AC65:AC66 Q92:Q93 U92 L99:L101 O101 R107 Y91:Y92 Q133:Q134 U133 L140:L141 M142 O150:O151 R151 P143 O148 S149 Y132:Y133 M102 Q180:Q181 U180 L187:L188 R194 Y179:Y180 F101:F102 U220 Q218 L226 A57 O230 P231 M234 Q234:Q235 O236 R236 Y218:Y219 U243 Q241 Q243 L250 O254 P255 M258 Q258:Q259 O260 R260 Y241:Y242 L252:L254 M275 F228 A101 L228:L230 M189 A537 U267 Q265 Q267 L274 O278 P279 M282 Q282:Q283 O284 R284 Y265:Y266 L276:L278 L294 O298 P299 M302 Q302:Q303 O304 R304 F252 L257 F254 F230 L315 O319 P320 M323 Q323:Q324 O325 R325 Q330 L339 L341:L343 O343 Q332 P344 M346 O348:O349 R349 Y330:Y331 F317 Q354 Q356 L364 L366:L368 O368 P369 M371 O373:O374 R374 Y354:Y355 A341 Q379 Q381 L388 F340:F342 R394 Y379:Y380 Q420 Q422 L430 L432:L434 O434 P435 M437 R440 O439:O440 Y420:Y421 D341 F301 Q445 Q447 L455 L457:L459 O459 P460 M462 R465 O464:O465 Y445:Y446 F431:F432 Q470 Q472 L480 R486 Y470:Y471 Y491:Y492 Q491 AC491:AC492 U527:U528 M527:M529 L530 M537:M540 I527:I540 M531:M535 F226 O105:O107 N149 O192:O194 Q346:Q347 Q371:Q372 O392:O394 Q437:Q438 Q462:Q463 O484:O486 A27 M227 M251 L296:L298 L317:L319 O499 L507 F480:F481 A517 A275 M38:M41 M29 M481 D513 L144:L148 A77 Q527:Q528 M295 M316 M340 M365 M389 M431 M456 R83:R86 U155 M508:M512 M52:M55 D76:D79 D56:D58 AC10:AC11 L233 A228 F224 F234 A319 D319 D297 D388 A388 A208 F232 F295 D431 Y309:Y310 O495 L28 O28 A297 L50:L51 M46:M49 A48 Y45:Y46 O81:O86 M63:M70 Q220 Y10:Y11 A142 O233 A188 M35:M36 D252 O257 F250 O281 L281 D228 A252 L301 O301 D275:D276 F275:F276 L322 O322 F299 F297 F319 A431 D537:D539 Y21:Y22 M8:M11 Y289:Y290 A497 F321 A513 M516:M519 Q52:Q53 A39 Y52:Y53 U490 D517 A15 D38:D40 Y506:Y507 L536 VIS20 VSO64 VSO90 U111 D365 U288 Y35:Y36 U308 D496:D498 F496:F497 A531 D531:D532 Y512:Y513 Y515:Y516 A480 D480 D456 A456 D101 Q113:Q114 U113 L119:L121 O121 R127 Y112:Y113 M122 F121:F122 A121 O125:O127 F408 U131 L79:L90 D142:D143 Q157:Q158 U157 L163:L164 M165 O173:O174 R174 P166 O171 S172 Y156:Y157 N172 L167:L171 U178 A165 D165:D166 U198 Q200:Q201 U200 L206:L207 R213 Y199:Y200 M208 O211:O213 D188 D208 F364:F366 A365 Q399 Q401 L409 R415 Y399:Y400 O413:O415 M410 D121 F388 D408 A408 L17:L20 O17:O18 R18 VSO20 JH19:JI20 TD19:TE20 ACZ19:ADA20 AMV19:AMW20 AWR19:AWS20 BGN19:BGO20 BQJ19:BQK20 CAF19:CAG20 CKB19:CKC20 CTX19:CTY20 DDT19:DDU20 DNP19:DNQ20 DXL19:DXM20 EHH19:EHI20 ERD19:ERE20 FAZ19:FBA20 FKV19:FKW20 FUR19:FUS20 GEN19:GEO20 GOJ19:GOK20 GYF19:GYG20 HIB19:HIC20 HRX19:HRY20 IBT19:IBU20 ILP19:ILQ20 IVL19:IVM20 JFH19:JFI20 JPD19:JPE20 JYZ19:JZA20 KIV19:KIW20 KSR19:KSS20 LCN19:LCO20 LMJ19:LMK20 LWF19:LWG20 MGB19:MGC20 MPX19:MPY20 MZT19:MZU20 NJP19:NJQ20 NTL19:NTM20 ODH19:ODI20 OND19:ONE20 OWZ19:OXA20 PGV19:PGW20 PQR19:PQS20 QAN19:QAO20 QKJ19:QKK20 QUF19:QUG20 REB19:REC20 RNX19:RNY20 RXT19:RXU20 SHP19:SHQ20 SRL19:SRM20 TBH19:TBI20 TLD19:TLE20 TUZ19:TVA20 UEV19:UEW20 UOR19:UOS20 UYN19:UYO20 VIJ19:VIK20 VSF19:VSG20 WCB19:WCC20 WLX19:WLY20 WVT19:WVU20 WCK20 JL19:JM20 TH19:TI20 ADD19:ADE20 AMZ19:ANA20 AWV19:AWW20 BGR19:BGS20 BQN19:BQO20 CAJ19:CAK20 CKF19:CKG20 CUB19:CUC20 DDX19:DDY20 DNT19:DNU20 DXP19:DXQ20 EHL19:EHM20 ERH19:ERI20 FBD19:FBE20 FKZ19:FLA20 FUV19:FUW20 GER19:GES20 GON19:GOO20 GYJ19:GYK20 HIF19:HIG20 HSB19:HSC20 IBX19:IBY20 ILT19:ILU20 IVP19:IVQ20 JFL19:JFM20 JPH19:JPI20 JZD19:JZE20 KIZ19:KJA20 KSV19:KSW20 LCR19:LCS20 LMN19:LMO20 LWJ19:LWK20 MGF19:MGG20 MQB19:MQC20 MZX19:MZY20 NJT19:NJU20 NTP19:NTQ20 ODL19:ODM20 ONH19:ONI20 OXD19:OXE20 PGZ19:PHA20 PQV19:PQW20 QAR19:QAS20 QKN19:QKO20 QUJ19:QUK20 REF19:REG20 ROB19:ROC20 RXX19:RXY20 SHT19:SHU20 SRP19:SRQ20 TBL19:TBM20 TLH19:TLI20 TVD19:TVE20 UEZ19:UFA20 UOV19:UOW20 UYR19:UYS20 VIN19:VIO20 VSJ19:VSK20 WCF19:WCG20 WMB19:WMC20 WVX19:WVY20 WMG20 JO19:JO20 TK19:TK20 ADG19:ADG20 ANC19:ANC20 AWY19:AWY20 BGU19:BGU20 BQQ19:BQQ20 CAM19:CAM20 CKI19:CKI20 CUE19:CUE20 DEA19:DEA20 DNW19:DNW20 DXS19:DXS20 EHO19:EHO20 ERK19:ERK20 FBG19:FBG20 FLC19:FLC20 FUY19:FUY20 GEU19:GEU20 GOQ19:GOQ20 GYM19:GYM20 HII19:HII20 HSE19:HSE20 ICA19:ICA20 ILW19:ILW20 IVS19:IVS20 JFO19:JFO20 JPK19:JPK20 JZG19:JZG20 KJC19:KJC20 KSY19:KSY20 LCU19:LCU20 LMQ19:LMQ20 LWM19:LWM20 MGI19:MGI20 MQE19:MQE20 NAA19:NAA20 NJW19:NJW20 NTS19:NTS20 ODO19:ODO20 ONK19:ONK20 OXG19:OXG20 PHC19:PHC20 PQY19:PQY20 QAU19:QAU20 QKQ19:QKQ20 QUM19:QUM20 REI19:REI20 ROE19:ROE20 RYA19:RYA20 SHW19:SHW20 SRS19:SRS20 TBO19:TBO20 TLK19:TLK20 TVG19:TVG20 UFC19:UFC20 UOY19:UOY20 UYU19:UYU20 VIQ19:VIQ20 VSM19:VSM20 WCI19:WCI20 WME19:WME20 WWA19:WWA20 WWC20 JP19:JQ19 TL19:TM19 ADH19:ADI19 AND19:ANE19 AWZ19:AXA19 BGV19:BGW19 BQR19:BQS19 CAN19:CAO19 CKJ19:CKK19 CUF19:CUG19 DEB19:DEC19 DNX19:DNY19 DXT19:DXU19 EHP19:EHQ19 ERL19:ERM19 FBH19:FBI19 FLD19:FLE19 FUZ19:FVA19 GEV19:GEW19 GOR19:GOS19 GYN19:GYO19 HIJ19:HIK19 HSF19:HSG19 ICB19:ICC19 ILX19:ILY19 IVT19:IVU19 JFP19:JFQ19 JPL19:JPM19 JZH19:JZI19 KJD19:KJE19 KSZ19:KTA19 LCV19:LCW19 LMR19:LMS19 LWN19:LWO19 MGJ19:MGK19 MQF19:MQG19 NAB19:NAC19 NJX19:NJY19 NTT19:NTU19 ODP19:ODQ19 ONL19:ONM19 OXH19:OXI19 PHD19:PHE19 PQZ19:PRA19 QAV19:QAW19 QKR19:QKS19 QUN19:QUO19 REJ19:REK19 ROF19:ROG19 RYB19:RYC19 SHX19:SHY19 SRT19:SRU19 TBP19:TBQ19 TLL19:TLM19 TVH19:TVI19 UFD19:UFE19 UOZ19:UPA19 UYV19:UYW19 VIR19:VIS19 VSN19:VSO19 WCJ19:WCK19 WMF19:WMG19 WWB19:WWC19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U20 P19:Q20 M19:M22 S19:S20 T19:U19 O33 L30:L34 O43 L42:L45 R62 L56:L64 O62 WCK64 JH63:JI64 TD63:TE64 ACZ63:ADA64 AMV63:AMW64 AWR63:AWS64 BGN63:BGO64 BQJ63:BQK64 CAF63:CAG64 CKB63:CKC64 CTX63:CTY64 DDT63:DDU64 DNP63:DNQ64 DXL63:DXM64 EHH63:EHI64 ERD63:ERE64 FAZ63:FBA64 FKV63:FKW64 FUR63:FUS64 GEN63:GEO64 GOJ63:GOK64 GYF63:GYG64 HIB63:HIC64 HRX63:HRY64 IBT63:IBU64 ILP63:ILQ64 IVL63:IVM64 JFH63:JFI64 JPD63:JPE64 JYZ63:JZA64 KIV63:KIW64 KSR63:KSS64 LCN63:LCO64 LMJ63:LMK64 LWF63:LWG64 MGB63:MGC64 MPX63:MPY64 MZT63:MZU64 NJP63:NJQ64 NTL63:NTM64 ODH63:ODI64 OND63:ONE64 OWZ63:OXA64 PGV63:PGW64 PQR63:PQS64 QAN63:QAO64 QKJ63:QKK64 QUF63:QUG64 REB63:REC64 RNX63:RNY64 RXT63:RXU64 SHP63:SHQ64 SRL63:SRM64 TBH63:TBI64 TLD63:TLE64 TUZ63:TVA64 UEV63:UEW64 UOR63:UOS64 UYN63:UYO64 VIJ63:VIK64 VSF63:VSG64 WCB63:WCC64 WLX63:WLY64 WVT63:WVU64 WMG64 JL63:JM64 TH63:TI64 ADD63:ADE64 AMZ63:ANA64 AWV63:AWW64 BGR63:BGS64 BQN63:BQO64 CAJ63:CAK64 CKF63:CKG64 CUB63:CUC64 DDX63:DDY64 DNT63:DNU64 DXP63:DXQ64 EHL63:EHM64 ERH63:ERI64 FBD63:FBE64 FKZ63:FLA64 FUV63:FUW64 GER63:GES64 GON63:GOO64 GYJ63:GYK64 HIF63:HIG64 HSB63:HSC64 IBX63:IBY64 ILT63:ILU64 IVP63:IVQ64 JFL63:JFM64 JPH63:JPI64 JZD63:JZE64 KIZ63:KJA64 KSV63:KSW64 LCR63:LCS64 LMN63:LMO64 LWJ63:LWK64 MGF63:MGG64 MQB63:MQC64 MZX63:MZY64 NJT63:NJU64 NTP63:NTQ64 ODL63:ODM64 ONH63:ONI64 OXD63:OXE64 PGZ63:PHA64 PQV63:PQW64 QAR63:QAS64 QKN63:QKO64 QUJ63:QUK64 REF63:REG64 ROB63:ROC64 RXX63:RXY64 SHT63:SHU64 SRP63:SRQ64 TBL63:TBM64 TLH63:TLI64 TVD63:TVE64 UEZ63:UFA64 UOV63:UOW64 UYR63:UYS64 VIN63:VIO64 VSJ63:VSK64 WCF63:WCG64 WMB63:WMC64 WVX63:WVY64 WWC64 JO63:JO64 TK63:TK64 ADG63:ADG64 ANC63:ANC64 AWY63:AWY64 BGU63:BGU64 BQQ63:BQQ64 CAM63:CAM64 CKI63:CKI64 CUE63:CUE64 DEA63:DEA64 DNW63:DNW64 DXS63:DXS64 EHO63:EHO64 ERK63:ERK64 FBG63:FBG64 FLC63:FLC64 FUY63:FUY64 GEU63:GEU64 GOQ63:GOQ64 GYM63:GYM64 HII63:HII64 HSE63:HSE64 ICA63:ICA64 ILW63:ILW64 IVS63:IVS64 JFO63:JFO64 JPK63:JPK64 JZG63:JZG64 KJC63:KJC64 KSY63:KSY64 LCU63:LCU64 LMQ63:LMQ64 LWM63:LWM64 MGI63:MGI64 MQE63:MQE64 NAA63:NAA64 NJW63:NJW64 NTS63:NTS64 ODO63:ODO64 ONK63:ONK64 OXG63:OXG64 PHC63:PHC64 PQY63:PQY64 QAU63:QAU64 QKQ63:QKQ64 QUM63:QUM64 REI63:REI64 ROE63:ROE64 RYA63:RYA64 SHW63:SHW64 SRS63:SRS64 TBO63:TBO64 TLK63:TLK64 TVG63:TVG64 UFC63:UFC64 UOY63:UOY64 UYU63:UYU64 VIQ63:VIQ64 VSM63:VSM64 WCI63:WCI64 WME63:WME64 WWA63:WWA64 T63:U63 JP63:JQ63 TL63:TM63 ADH63:ADI63 AND63:ANE63 AWZ63:AXA63 BGV63:BGW63 BQR63:BQS63 CAN63:CAO63 CKJ63:CKK63 CUF63:CUG63 DEB63:DEC63 DNX63:DNY63 DXT63:DXU63 EHP63:EHQ63 ERL63:ERM63 FBH63:FBI63 FLD63:FLE63 FUZ63:FVA63 GEV63:GEW63 GOR63:GOS63 GYN63:GYO63 HIJ63:HIK63 HSF63:HSG63 ICB63:ICC63 ILX63:ILY63 IVT63:IVU63 JFP63:JFQ63 JPL63:JPM63 JZH63:JZI63 KJD63:KJE63 KSZ63:KTA63 LCV63:LCW63 LMR63:LMS63 LWN63:LWO63 MGJ63:MGK63 MQF63:MQG63 NAB63:NAC63 NJX63:NJY63 NTT63:NTU63 ODP63:ODQ63 ONL63:ONM63 OXH63:OXI63 PHD63:PHE63 PQZ63:PRA63 QAV63:QAW63 QKR63:QKS63 QUN63:QUO63 REJ63:REK63 ROF63:ROG63 RYB63:RYC63 SHX63:SHY63 SRT63:SRU63 TBP63:TBQ63 TLL63:TLM63 TVH63:TVI63 UFD63:UFE63 UOZ63:UPA63 UYV63:UYW63 VIR63:VIS63 VSN63:VSO63 WCJ63:WCK63 WMF63:WMG63 WWB63:WWC63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P63:Q64 U64 S63:S64 WCK90 JH89:JI90 TD89:TE90 ACZ89:ADA90 AMV89:AMW90 AWR89:AWS90 BGN89:BGO90 BQJ89:BQK90 CAF89:CAG90 CKB89:CKC90 CTX89:CTY90 DDT89:DDU90 DNP89:DNQ90 DXL89:DXM90 EHH89:EHI90 ERD89:ERE90 FAZ89:FBA90 FKV89:FKW90 FUR89:FUS90 GEN89:GEO90 GOJ89:GOK90 GYF89:GYG90 HIB89:HIC90 HRX89:HRY90 IBT89:IBU90 ILP89:ILQ90 IVL89:IVM90 JFH89:JFI90 JPD89:JPE90 JYZ89:JZA90 KIV89:KIW90 KSR89:KSS90 LCN89:LCO90 LMJ89:LMK90 LWF89:LWG90 MGB89:MGC90 MPX89:MPY90 MZT89:MZU90 NJP89:NJQ90 NTL89:NTM90 ODH89:ODI90 OND89:ONE90 OWZ89:OXA90 PGV89:PGW90 PQR89:PQS90 QAN89:QAO90 QKJ89:QKK90 QUF89:QUG90 REB89:REC90 RNX89:RNY90 RXT89:RXU90 SHP89:SHQ90 SRL89:SRM90 TBH89:TBI90 TLD89:TLE90 TUZ89:TVA90 UEV89:UEW90 UOR89:UOS90 UYN89:UYO90 VIJ89:VIK90 VSF89:VSG90 WCB89:WCC90 WLX89:WLY90 WVT89:WVU90 WMG90 JL89:JM90 TH89:TI90 ADD89:ADE90 AMZ89:ANA90 AWV89:AWW90 BGR89:BGS90 BQN89:BQO90 CAJ89:CAK90 CKF89:CKG90 CUB89:CUC90 DDX89:DDY90 DNT89:DNU90 DXP89:DXQ90 EHL89:EHM90 ERH89:ERI90 FBD89:FBE90 FKZ89:FLA90 FUV89:FUW90 GER89:GES90 GON89:GOO90 GYJ89:GYK90 HIF89:HIG90 HSB89:HSC90 IBX89:IBY90 ILT89:ILU90 IVP89:IVQ90 JFL89:JFM90 JPH89:JPI90 JZD89:JZE90 KIZ89:KJA90 KSV89:KSW90 LCR89:LCS90 LMN89:LMO90 LWJ89:LWK90 MGF89:MGG90 MQB89:MQC90 MZX89:MZY90 NJT89:NJU90 NTP89:NTQ90 ODL89:ODM90 ONH89:ONI90 OXD89:OXE90 PGZ89:PHA90 PQV89:PQW90 QAR89:QAS90 QKN89:QKO90 QUJ89:QUK90 REF89:REG90 ROB89:ROC90 RXX89:RXY90 SHT89:SHU90 SRP89:SRQ90 TBL89:TBM90 TLH89:TLI90 TVD89:TVE90 UEZ89:UFA90 UOV89:UOW90 UYR89:UYS90 VIN89:VIO90 VSJ89:VSK90 WCF89:WCG90 WMB89:WMC90 WVX89:WVY90 WWC90 JO89:JO90 TK89:TK90 ADG89:ADG90 ANC89:ANC90 AWY89:AWY90 BGU89:BGU90 BQQ89:BQQ90 CAM89:CAM90 CKI89:CKI90 CUE89:CUE90 DEA89:DEA90 DNW89:DNW90 DXS89:DXS90 EHO89:EHO90 ERK89:ERK90 FBG89:FBG90 FLC89:FLC90 FUY89:FUY90 GEU89:GEU90 GOQ89:GOQ90 GYM89:GYM90 HII89:HII90 HSE89:HSE90 ICA89:ICA90 ILW89:ILW90 IVS89:IVS90 JFO89:JFO90 JPK89:JPK90 JZG89:JZG90 KJC89:KJC90 KSY89:KSY90 LCU89:LCU90 LMQ89:LMQ90 LWM89:LWM90 MGI89:MGI90 MQE89:MQE90 NAA89:NAA90 NJW89:NJW90 NTS89:NTS90 ODO89:ODO90 ONK89:ONK90 OXG89:OXG90 PHC89:PHC90 PQY89:PQY90 QAU89:QAU90 QKQ89:QKQ90 QUM89:QUM90 REI89:REI90 ROE89:ROE90 RYA89:RYA90 SHW89:SHW90 SRS89:SRS90 TBO89:TBO90 TLK89:TLK90 TVG89:TVG90 UFC89:UFC90 UOY89:UOY90 UYU89:UYU90 VIQ89:VIQ90 VSM89:VSM90 WCI89:WCI90 WME89:WME90 WWA89:WWA90 VIS90 JP89:JQ89 TL89:TM89 ADH89:ADI89 AND89:ANE89 AWZ89:AXA89 BGV89:BGW89 BQR89:BQS89 CAN89:CAO89 CKJ89:CKK89 CUF89:CUG89 DEB89:DEC89 DNX89:DNY89 DXT89:DXU89 EHP89:EHQ89 ERL89:ERM89 FBH89:FBI89 FLD89:FLE89 FUZ89:FVA89 GEV89:GEW89 GOR89:GOS89 GYN89:GYO89 HIJ89:HIK89 HSF89:HSG89 ICB89:ICC89 ILX89:ILY89 IVT89:IVU89 JFP89:JFQ89 JPL89:JPM89 JZH89:JZI89 KJD89:KJE89 KSZ89:KTA89 LCV89:LCW89 LMR89:LMS89 LWN89:LWO89 MGJ89:MGK89 MQF89:MQG89 NAB89:NAC89 NJX89:NJY89 NTT89:NTU89 ODP89:ODQ89 ONL89:ONM89 OXH89:OXI89 PHD89:PHE89 PQZ89:PRA89 QAV89:QAW89 QKR89:QKS89 QUN89:QUO89 REJ89:REK89 ROF89:ROG89 RYB89:RYC89 SHX89:SHY89 SRT89:SRU89 TBP89:TBQ89 TLL89:TLM89 TVH89:TVI89 UFD89:UFE89 UOZ89:UPA89 UYV89:UYW89 VIR89:VIS89 VSN89:VSO89 WCJ89:WCK89 WMF89:WMG89 WWB89:WWC89 JQ90 TM90 ADI90 ANE90 AXA90 BGW90 BQS90 CAO90 CKK90 CUG90 DEC90 DNY90 DXU90 EHQ90 ERM90 FBI90 FLE90 FVA90 GEW90 GOS90 GYO90 HIK90 HSG90 ICC90 ILY90 IVU90 JFQ90 JPM90 JZI90 KJE90 KTA90 LCW90 LMS90 LWO90 MGK90 MQG90 NAC90 NJY90 NTU90 ODQ90 ONM90 OXI90 PHE90 PRA90 QAW90 QKS90 QUO90 REK90 ROG90 RYC90 SHY90 SRU90 TBQ90 TLM90 TVI90 UFE90 UPA90 UYW90 S89:S90 M89:M98 T89:U89 P89:Q90 U90 L103:L111 VSO111 WCK111 JH110:JI111 TD110:TE111 ACZ110:ADA111 AMV110:AMW111 AWR110:AWS111 BGN110:BGO111 BQJ110:BQK111 CAF110:CAG111 CKB110:CKC111 CTX110:CTY111 DDT110:DDU111 DNP110:DNQ111 DXL110:DXM111 EHH110:EHI111 ERD110:ERE111 FAZ110:FBA111 FKV110:FKW111 FUR110:FUS111 GEN110:GEO111 GOJ110:GOK111 GYF110:GYG111 HIB110:HIC111 HRX110:HRY111 IBT110:IBU111 ILP110:ILQ111 IVL110:IVM111 JFH110:JFI111 JPD110:JPE111 JYZ110:JZA111 KIV110:KIW111 KSR110:KSS111 LCN110:LCO111 LMJ110:LMK111 LWF110:LWG111 MGB110:MGC111 MPX110:MPY111 MZT110:MZU111 NJP110:NJQ111 NTL110:NTM111 ODH110:ODI111 OND110:ONE111 OWZ110:OXA111 PGV110:PGW111 PQR110:PQS111 QAN110:QAO111 QKJ110:QKK111 QUF110:QUG111 REB110:REC111 RNX110:RNY111 RXT110:RXU111 SHP110:SHQ111 SRL110:SRM111 TBH110:TBI111 TLD110:TLE111 TUZ110:TVA111 UEV110:UEW111 UOR110:UOS111 UYN110:UYO111 VIJ110:VIK111 VSF110:VSG111 WCB110:WCC111 WLX110:WLY111 WVT110:WVU111 WMG111 JL110:JM111 TH110:TI111 ADD110:ADE111 AMZ110:ANA111 AWV110:AWW111 BGR110:BGS111 BQN110:BQO111 CAJ110:CAK111 CKF110:CKG111 CUB110:CUC111 DDX110:DDY111 DNT110:DNU111 DXP110:DXQ111 EHL110:EHM111 ERH110:ERI111 FBD110:FBE111 FKZ110:FLA111 FUV110:FUW111 GER110:GES111 GON110:GOO111 GYJ110:GYK111 HIF110:HIG111 HSB110:HSC111 IBX110:IBY111 ILT110:ILU111 IVP110:IVQ111 JFL110:JFM111 JPH110:JPI111 JZD110:JZE111 KIZ110:KJA111 KSV110:KSW111 LCR110:LCS111 LMN110:LMO111 LWJ110:LWK111 MGF110:MGG111 MQB110:MQC111 MZX110:MZY111 NJT110:NJU111 NTP110:NTQ111 ODL110:ODM111 ONH110:ONI111 OXD110:OXE111 PGZ110:PHA111 PQV110:PQW111 QAR110:QAS111 QKN110:QKO111 QUJ110:QUK111 REF110:REG111 ROB110:ROC111 RXX110:RXY111 SHT110:SHU111 SRP110:SRQ111 TBL110:TBM111 TLH110:TLI111 TVD110:TVE111 UEZ110:UFA111 UOV110:UOW111 UYR110:UYS111 VIN110:VIO111 VSJ110:VSK111 WCF110:WCG111 WMB110:WMC111 WVX110:WVY111 WWC111 JO110:JO111 TK110:TK111 ADG110:ADG111 ANC110:ANC111 AWY110:AWY111 BGU110:BGU111 BQQ110:BQQ111 CAM110:CAM111 CKI110:CKI111 CUE110:CUE111 DEA110:DEA111 DNW110:DNW111 DXS110:DXS111 EHO110:EHO111 ERK110:ERK111 FBG110:FBG111 FLC110:FLC111 FUY110:FUY111 GEU110:GEU111 GOQ110:GOQ111 GYM110:GYM111 HII110:HII111 HSE110:HSE111 ICA110:ICA111 ILW110:ILW111 IVS110:IVS111 JFO110:JFO111 JPK110:JPK111 JZG110:JZG111 KJC110:KJC111 KSY110:KSY111 LCU110:LCU111 LMQ110:LMQ111 LWM110:LWM111 MGI110:MGI111 MQE110:MQE111 NAA110:NAA111 NJW110:NJW111 NTS110:NTS111 ODO110:ODO111 ONK110:ONK111 OXG110:OXG111 PHC110:PHC111 PQY110:PQY111 QAU110:QAU111 QKQ110:QKQ111 QUM110:QUM111 REI110:REI111 ROE110:ROE111 RYA110:RYA111 SHW110:SHW111 SRS110:SRS111 TBO110:TBO111 TLK110:TLK111 TVG110:TVG111 UFC110:UFC111 UOY110:UOY111 UYU110:UYU111 VIQ110:VIQ111 VSM110:VSM111 WCI110:WCI111 WME110:WME111 WWA110:WWA111 VIS111 JP110:JQ110 TL110:TM110 ADH110:ADI110 AND110:ANE110 AWZ110:AXA110 BGV110:BGW110 BQR110:BQS110 CAN110:CAO110 CKJ110:CKK110 CUF110:CUG110 DEB110:DEC110 DNX110:DNY110 DXT110:DXU110 EHP110:EHQ110 ERL110:ERM110 FBH110:FBI110 FLD110:FLE110 FUZ110:FVA110 GEV110:GEW110 GOR110:GOS110 GYN110:GYO110 HIJ110:HIK110 HSF110:HSG110 ICB110:ICC110 ILX110:ILY110 IVT110:IVU110 JFP110:JFQ110 JPL110:JPM110 JZH110:JZI110 KJD110:KJE110 KSZ110:KTA110 LCV110:LCW110 LMR110:LMS110 LWN110:LWO110 MGJ110:MGK110 MQF110:MQG110 NAB110:NAC110 NJX110:NJY110 NTT110:NTU110 ODP110:ODQ110 ONL110:ONM110 OXH110:OXI110 PHD110:PHE110 PQZ110:PRA110 QAV110:QAW110 QKR110:QKS110 QUN110:QUO110 REJ110:REK110 ROF110:ROG110 RYB110:RYC110 SHX110:SHY110 SRT110:SRU110 TBP110:TBQ110 TLL110:TLM110 TVH110:TVI110 UFD110:UFE110 UOZ110:UPA110 UYV110:UYW110 VIR110:VIS110 VSN110:VSO110 WCJ110:WCK110 WMF110:WMG110 WWB110:WWC110 JQ111 TM111 ADI111 ANE111 AXA111 BGW111 BQS111 CAO111 CKK111 CUG111 DEC111 DNY111 DXU111 EHQ111 ERM111 FBI111 FLE111 FVA111 GEW111 GOS111 GYO111 HIK111 HSG111 ICC111 ILY111 IVU111 JFQ111 JPM111 JZI111 KJE111 KTA111 LCW111 LMS111 LWO111 MGK111 MQG111 NAC111 NJY111 NTU111 ODQ111 ONM111 OXI111 PHE111 PRA111 QAW111 QKS111 QUO111 REK111 ROG111 RYC111 SHY111 SRU111 TBQ111 TLM111 TVI111 UFE111 UPA111 UYW111 S110:S111 M110:M118 T110:U110 P110:Q111 L123:L131 VSO131 WCK131 JH130:JI131 TD130:TE131 ACZ130:ADA131 AMV130:AMW131 AWR130:AWS131 BGN130:BGO131 BQJ130:BQK131 CAF130:CAG131 CKB130:CKC131 CTX130:CTY131 DDT130:DDU131 DNP130:DNQ131 DXL130:DXM131 EHH130:EHI131 ERD130:ERE131 FAZ130:FBA131 FKV130:FKW131 FUR130:FUS131 GEN130:GEO131 GOJ130:GOK131 GYF130:GYG131 HIB130:HIC131 HRX130:HRY131 IBT130:IBU131 ILP130:ILQ131 IVL130:IVM131 JFH130:JFI131 JPD130:JPE131 JYZ130:JZA131 KIV130:KIW131 KSR130:KSS131 LCN130:LCO131 LMJ130:LMK131 LWF130:LWG131 MGB130:MGC131 MPX130:MPY131 MZT130:MZU131 NJP130:NJQ131 NTL130:NTM131 ODH130:ODI131 OND130:ONE131 OWZ130:OXA131 PGV130:PGW131 PQR130:PQS131 QAN130:QAO131 QKJ130:QKK131 QUF130:QUG131 REB130:REC131 RNX130:RNY131 RXT130:RXU131 SHP130:SHQ131 SRL130:SRM131 TBH130:TBI131 TLD130:TLE131 TUZ130:TVA131 UEV130:UEW131 UOR130:UOS131 UYN130:UYO131 VIJ130:VIK131 VSF130:VSG131 WCB130:WCC131 WLX130:WLY131 WVT130:WVU131 WMG131 JL130:JM131 TH130:TI131 ADD130:ADE131 AMZ130:ANA131 AWV130:AWW131 BGR130:BGS131 BQN130:BQO131 CAJ130:CAK131 CKF130:CKG131 CUB130:CUC131 DDX130:DDY131 DNT130:DNU131 DXP130:DXQ131 EHL130:EHM131 ERH130:ERI131 FBD130:FBE131 FKZ130:FLA131 FUV130:FUW131 GER130:GES131 GON130:GOO131 GYJ130:GYK131 HIF130:HIG131 HSB130:HSC131 IBX130:IBY131 ILT130:ILU131 IVP130:IVQ131 JFL130:JFM131 JPH130:JPI131 JZD130:JZE131 KIZ130:KJA131 KSV130:KSW131 LCR130:LCS131 LMN130:LMO131 LWJ130:LWK131 MGF130:MGG131 MQB130:MQC131 MZX130:MZY131 NJT130:NJU131 NTP130:NTQ131 ODL130:ODM131 ONH130:ONI131 OXD130:OXE131 PGZ130:PHA131 PQV130:PQW131 QAR130:QAS131 QKN130:QKO131 QUJ130:QUK131 REF130:REG131 ROB130:ROC131 RXX130:RXY131 SHT130:SHU131 SRP130:SRQ131 TBL130:TBM131 TLH130:TLI131 TVD130:TVE131 UEZ130:UFA131 UOV130:UOW131 UYR130:UYS131 VIN130:VIO131 VSJ130:VSK131 WCF130:WCG131 WMB130:WMC131 WVX130:WVY131 WWC131 JO130:JO131 TK130:TK131 ADG130:ADG131 ANC130:ANC131 AWY130:AWY131 BGU130:BGU131 BQQ130:BQQ131 CAM130:CAM131 CKI130:CKI131 CUE130:CUE131 DEA130:DEA131 DNW130:DNW131 DXS130:DXS131 EHO130:EHO131 ERK130:ERK131 FBG130:FBG131 FLC130:FLC131 FUY130:FUY131 GEU130:GEU131 GOQ130:GOQ131 GYM130:GYM131 HII130:HII131 HSE130:HSE131 ICA130:ICA131 ILW130:ILW131 IVS130:IVS131 JFO130:JFO131 JPK130:JPK131 JZG130:JZG131 KJC130:KJC131 KSY130:KSY131 LCU130:LCU131 LMQ130:LMQ131 LWM130:LWM131 MGI130:MGI131 MQE130:MQE131 NAA130:NAA131 NJW130:NJW131 NTS130:NTS131 ODO130:ODO131 ONK130:ONK131 OXG130:OXG131 PHC130:PHC131 PQY130:PQY131 QAU130:QAU131 QKQ130:QKQ131 QUM130:QUM131 REI130:REI131 ROE130:ROE131 RYA130:RYA131 SHW130:SHW131 SRS130:SRS131 TBO130:TBO131 TLK130:TLK131 TVG130:TVG131 UFC130:UFC131 UOY130:UOY131 UYU130:UYU131 VIQ130:VIQ131 VSM130:VSM131 WCI130:WCI131 WME130:WME131 WWA130:WWA131 VIS131 JP130:JQ130 TL130:TM130 ADH130:ADI130 AND130:ANE130 AWZ130:AXA130 BGV130:BGW130 BQR130:BQS130 CAN130:CAO130 CKJ130:CKK130 CUF130:CUG130 DEB130:DEC130 DNX130:DNY130 DXT130:DXU130 EHP130:EHQ130 ERL130:ERM130 FBH130:FBI130 FLD130:FLE130 FUZ130:FVA130 GEV130:GEW130 GOR130:GOS130 GYN130:GYO130 HIJ130:HIK130 HSF130:HSG130 ICB130:ICC130 ILX130:ILY130 IVT130:IVU130 JFP130:JFQ130 JPL130:JPM130 JZH130:JZI130 KJD130:KJE130 KSZ130:KTA130 LCV130:LCW130 LMR130:LMS130 LWN130:LWO130 MGJ130:MGK130 MQF130:MQG130 NAB130:NAC130 NJX130:NJY130 NTT130:NTU130 ODP130:ODQ130 ONL130:ONM130 OXH130:OXI130 PHD130:PHE130 PQZ130:PRA130 QAV130:QAW130 QKR130:QKS130 QUN130:QUO130 REJ130:REK130 ROF130:ROG130 RYB130:RYC130 SHX130:SHY130 SRT130:SRU130 TBP130:TBQ130 TLL130:TLM130 TVH130:TVI130 UFD130:UFE130 UOZ130:UPA130 UYV130:UYW130 VIR130:VIS130 VSN130:VSO130 WCJ130:WCK130 WMF130:WMG130 WWB130:WWC130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S130:S131 M130:M139 T130:U130 P130:Q131 L150:L155 VSO155 WCK155 JH154:JI155 TD154:TE155 ACZ154:ADA155 AMV154:AMW155 AWR154:AWS155 BGN154:BGO155 BQJ154:BQK155 CAF154:CAG155 CKB154:CKC155 CTX154:CTY155 DDT154:DDU155 DNP154:DNQ155 DXL154:DXM155 EHH154:EHI155 ERD154:ERE155 FAZ154:FBA155 FKV154:FKW155 FUR154:FUS155 GEN154:GEO155 GOJ154:GOK155 GYF154:GYG155 HIB154:HIC155 HRX154:HRY155 IBT154:IBU155 ILP154:ILQ155 IVL154:IVM155 JFH154:JFI155 JPD154:JPE155 JYZ154:JZA155 KIV154:KIW155 KSR154:KSS155 LCN154:LCO155 LMJ154:LMK155 LWF154:LWG155 MGB154:MGC155 MPX154:MPY155 MZT154:MZU155 NJP154:NJQ155 NTL154:NTM155 ODH154:ODI155 OND154:ONE155 OWZ154:OXA155 PGV154:PGW155 PQR154:PQS155 QAN154:QAO155 QKJ154:QKK155 QUF154:QUG155 REB154:REC155 RNX154:RNY155 RXT154:RXU155 SHP154:SHQ155 SRL154:SRM155 TBH154:TBI155 TLD154:TLE155 TUZ154:TVA155 UEV154:UEW155 UOR154:UOS155 UYN154:UYO155 VIJ154:VIK155 VSF154:VSG155 WCB154:WCC155 WLX154:WLY155 WVT154:WVU155 WMG155 JL154:JM155 TH154:TI155 ADD154:ADE155 AMZ154:ANA155 AWV154:AWW155 BGR154:BGS155 BQN154:BQO155 CAJ154:CAK155 CKF154:CKG155 CUB154:CUC155 DDX154:DDY155 DNT154:DNU155 DXP154:DXQ155 EHL154:EHM155 ERH154:ERI155 FBD154:FBE155 FKZ154:FLA155 FUV154:FUW155 GER154:GES155 GON154:GOO155 GYJ154:GYK155 HIF154:HIG155 HSB154:HSC155 IBX154:IBY155 ILT154:ILU155 IVP154:IVQ155 JFL154:JFM155 JPH154:JPI155 JZD154:JZE155 KIZ154:KJA155 KSV154:KSW155 LCR154:LCS155 LMN154:LMO155 LWJ154:LWK155 MGF154:MGG155 MQB154:MQC155 MZX154:MZY155 NJT154:NJU155 NTP154:NTQ155 ODL154:ODM155 ONH154:ONI155 OXD154:OXE155 PGZ154:PHA155 PQV154:PQW155 QAR154:QAS155 QKN154:QKO155 QUJ154:QUK155 REF154:REG155 ROB154:ROC155 RXX154:RXY155 SHT154:SHU155 SRP154:SRQ155 TBL154:TBM155 TLH154:TLI155 TVD154:TVE155 UEZ154:UFA155 UOV154:UOW155 UYR154:UYS155 VIN154:VIO155 VSJ154:VSK155 WCF154:WCG155 WMB154:WMC155 WVX154:WVY155 WWC155 JO154:JO155 TK154:TK155 ADG154:ADG155 ANC154:ANC155 AWY154:AWY155 BGU154:BGU155 BQQ154:BQQ155 CAM154:CAM155 CKI154:CKI155 CUE154:CUE155 DEA154:DEA155 DNW154:DNW155 DXS154:DXS155 EHO154:EHO155 ERK154:ERK155 FBG154:FBG155 FLC154:FLC155 FUY154:FUY155 GEU154:GEU155 GOQ154:GOQ155 GYM154:GYM155 HII154:HII155 HSE154:HSE155 ICA154:ICA155 ILW154:ILW155 IVS154:IVS155 JFO154:JFO155 JPK154:JPK155 JZG154:JZG155 KJC154:KJC155 KSY154:KSY155 LCU154:LCU155 LMQ154:LMQ155 LWM154:LWM155 MGI154:MGI155 MQE154:MQE155 NAA154:NAA155 NJW154:NJW155 NTS154:NTS155 ODO154:ODO155 ONK154:ONK155 OXG154:OXG155 PHC154:PHC155 PQY154:PQY155 QAU154:QAU155 QKQ154:QKQ155 QUM154:QUM155 REI154:REI155 ROE154:ROE155 RYA154:RYA155 SHW154:SHW155 SRS154:SRS155 TBO154:TBO155 TLK154:TLK155 TVG154:TVG155 UFC154:UFC155 UOY154:UOY155 UYU154:UYU155 VIQ154:VIQ155 VSM154:VSM155 WCI154:WCI155 WME154:WME155 WWA154:WWA155 VIS155 JP154:JQ154 TL154:TM154 ADH154:ADI154 AND154:ANE154 AWZ154:AXA154 BGV154:BGW154 BQR154:BQS154 CAN154:CAO154 CKJ154:CKK154 CUF154:CUG154 DEB154:DEC154 DNX154:DNY154 DXT154:DXU154 EHP154:EHQ154 ERL154:ERM154 FBH154:FBI154 FLD154:FLE154 FUZ154:FVA154 GEV154:GEW154 GOR154:GOS154 GYN154:GYO154 HIJ154:HIK154 HSF154:HSG154 ICB154:ICC154 ILX154:ILY154 IVT154:IVU154 JFP154:JFQ154 JPL154:JPM154 JZH154:JZI154 KJD154:KJE154 KSZ154:KTA154 LCV154:LCW154 LMR154:LMS154 LWN154:LWO154 MGJ154:MGK154 MQF154:MQG154 NAB154:NAC154 NJX154:NJY154 NTT154:NTU154 ODP154:ODQ154 ONL154:ONM154 OXH154:OXI154 PHD154:PHE154 PQZ154:PRA154 QAV154:QAW154 QKR154:QKS154 QUN154:QUO154 REJ154:REK154 ROF154:ROG154 RYB154:RYC154 SHX154:SHY154 SRT154:SRU154 TBP154:TBQ154 TLL154:TLM154 TVH154:TVI154 UFD154:UFE154 UOZ154:UPA154 UYV154:UYW154 VIR154:VIS154 VSN154:VSO154 WCJ154:WCK154 WMF154:WMG154 WWB154:WWC154 JQ155 TM155 ADI155 ANE155 AXA155 BGW155 BQS155 CAO155 CKK155 CUG155 DEC155 DNY155 DXU155 EHQ155 ERM155 FBI155 FLE155 FVA155 GEW155 GOS155 GYO155 HIK155 HSG155 ICC155 ILY155 IVU155 JFQ155 JPM155 JZI155 KJE155 KTA155 LCW155 LMS155 LWO155 MGK155 MQG155 NAC155 NJY155 NTU155 ODQ155 ONM155 OXI155 PHE155 PRA155 QAW155 QKS155 QUO155 REK155 ROG155 RYC155 SHY155 SRU155 TBQ155 TLM155 TVI155 UFE155 UPA155 UYW155 S154:S155 M154:M162 T154:U154 P154:Q155 L173:L178 VSO178 WCK178 JH177:JI178 TD177:TE178 ACZ177:ADA178 AMV177:AMW178 AWR177:AWS178 BGN177:BGO178 BQJ177:BQK178 CAF177:CAG178 CKB177:CKC178 CTX177:CTY178 DDT177:DDU178 DNP177:DNQ178 DXL177:DXM178 EHH177:EHI178 ERD177:ERE178 FAZ177:FBA178 FKV177:FKW178 FUR177:FUS178 GEN177:GEO178 GOJ177:GOK178 GYF177:GYG178 HIB177:HIC178 HRX177:HRY178 IBT177:IBU178 ILP177:ILQ178 IVL177:IVM178 JFH177:JFI178 JPD177:JPE178 JYZ177:JZA178 KIV177:KIW178 KSR177:KSS178 LCN177:LCO178 LMJ177:LMK178 LWF177:LWG178 MGB177:MGC178 MPX177:MPY178 MZT177:MZU178 NJP177:NJQ178 NTL177:NTM178 ODH177:ODI178 OND177:ONE178 OWZ177:OXA178 PGV177:PGW178 PQR177:PQS178 QAN177:QAO178 QKJ177:QKK178 QUF177:QUG178 REB177:REC178 RNX177:RNY178 RXT177:RXU178 SHP177:SHQ178 SRL177:SRM178 TBH177:TBI178 TLD177:TLE178 TUZ177:TVA178 UEV177:UEW178 UOR177:UOS178 UYN177:UYO178 VIJ177:VIK178 VSF177:VSG178 WCB177:WCC178 WLX177:WLY178 WVT177:WVU178 WMG178 JL177:JM178 TH177:TI178 ADD177:ADE178 AMZ177:ANA178 AWV177:AWW178 BGR177:BGS178 BQN177:BQO178 CAJ177:CAK178 CKF177:CKG178 CUB177:CUC178 DDX177:DDY178 DNT177:DNU178 DXP177:DXQ178 EHL177:EHM178 ERH177:ERI178 FBD177:FBE178 FKZ177:FLA178 FUV177:FUW178 GER177:GES178 GON177:GOO178 GYJ177:GYK178 HIF177:HIG178 HSB177:HSC178 IBX177:IBY178 ILT177:ILU178 IVP177:IVQ178 JFL177:JFM178 JPH177:JPI178 JZD177:JZE178 KIZ177:KJA178 KSV177:KSW178 LCR177:LCS178 LMN177:LMO178 LWJ177:LWK178 MGF177:MGG178 MQB177:MQC178 MZX177:MZY178 NJT177:NJU178 NTP177:NTQ178 ODL177:ODM178 ONH177:ONI178 OXD177:OXE178 PGZ177:PHA178 PQV177:PQW178 QAR177:QAS178 QKN177:QKO178 QUJ177:QUK178 REF177:REG178 ROB177:ROC178 RXX177:RXY178 SHT177:SHU178 SRP177:SRQ178 TBL177:TBM178 TLH177:TLI178 TVD177:TVE178 UEZ177:UFA178 UOV177:UOW178 UYR177:UYS178 VIN177:VIO178 VSJ177:VSK178 WCF177:WCG178 WMB177:WMC178 WVX177:WVY178 WWC178 JO177:JO178 TK177:TK178 ADG177:ADG178 ANC177:ANC178 AWY177:AWY178 BGU177:BGU178 BQQ177:BQQ178 CAM177:CAM178 CKI177:CKI178 CUE177:CUE178 DEA177:DEA178 DNW177:DNW178 DXS177:DXS178 EHO177:EHO178 ERK177:ERK178 FBG177:FBG178 FLC177:FLC178 FUY177:FUY178 GEU177:GEU178 GOQ177:GOQ178 GYM177:GYM178 HII177:HII178 HSE177:HSE178 ICA177:ICA178 ILW177:ILW178 IVS177:IVS178 JFO177:JFO178 JPK177:JPK178 JZG177:JZG178 KJC177:KJC178 KSY177:KSY178 LCU177:LCU178 LMQ177:LMQ178 LWM177:LWM178 MGI177:MGI178 MQE177:MQE178 NAA177:NAA178 NJW177:NJW178 NTS177:NTS178 ODO177:ODO178 ONK177:ONK178 OXG177:OXG178 PHC177:PHC178 PQY177:PQY178 QAU177:QAU178 QKQ177:QKQ178 QUM177:QUM178 REI177:REI178 ROE177:ROE178 RYA177:RYA178 SHW177:SHW178 SRS177:SRS178 TBO177:TBO178 TLK177:TLK178 TVG177:TVG178 UFC177:UFC178 UOY177:UOY178 UYU177:UYU178 VIQ177:VIQ178 VSM177:VSM178 WCI177:WCI178 WME177:WME178 WWA177:WWA178 VIS178 JP177:JQ177 TL177:TM177 ADH177:ADI177 AND177:ANE177 AWZ177:AXA177 BGV177:BGW177 BQR177:BQS177 CAN177:CAO177 CKJ177:CKK177 CUF177:CUG177 DEB177:DEC177 DNX177:DNY177 DXT177:DXU177 EHP177:EHQ177 ERL177:ERM177 FBH177:FBI177 FLD177:FLE177 FUZ177:FVA177 GEV177:GEW177 GOR177:GOS177 GYN177:GYO177 HIJ177:HIK177 HSF177:HSG177 ICB177:ICC177 ILX177:ILY177 IVT177:IVU177 JFP177:JFQ177 JPL177:JPM177 JZH177:JZI177 KJD177:KJE177 KSZ177:KTA177 LCV177:LCW177 LMR177:LMS177 LWN177:LWO177 MGJ177:MGK177 MQF177:MQG177 NAB177:NAC177 NJX177:NJY177 NTT177:NTU177 ODP177:ODQ177 ONL177:ONM177 OXH177:OXI177 PHD177:PHE177 PQZ177:PRA177 QAV177:QAW177 QKR177:QKS177 QUN177:QUO177 REJ177:REK177 ROF177:ROG177 RYB177:RYC177 SHX177:SHY177 SRT177:SRU177 TBP177:TBQ177 TLL177:TLM177 TVH177:TVI177 UFD177:UFE177 UOZ177:UPA177 UYV177:UYW177 VIR177:VIS177 VSN177:VSO177 WCJ177:WCK177 WMF177:WMG177 WWB177:WWC177 JQ178 TM178 ADI178 ANE178 AXA178 BGW178 BQS178 CAO178 CKK178 CUG178 DEC178 DNY178 DXU178 EHQ178 ERM178 FBI178 FLE178 FVA178 GEW178 GOS178 GYO178 HIK178 HSG178 ICC178 ILY178 IVU178 JFQ178 JPM178 JZI178 KJE178 KTA178 LCW178 LMS178 LWO178 MGK178 MQG178 NAC178 NJY178 NTU178 ODQ178 ONM178 OXI178 PHE178 PRA178 QAW178 QKS178 QUO178 REK178 ROG178 RYC178 SHY178 SRU178 TBQ178 TLM178 TVI178 UFE178 UPA178 UYW178 S177:S178 M177:M186 T177:U177 P177:Q178 L190:L198 VSO198 WCK198 JH197:JI198 TD197:TE198 ACZ197:ADA198 AMV197:AMW198 AWR197:AWS198 BGN197:BGO198 BQJ197:BQK198 CAF197:CAG198 CKB197:CKC198 CTX197:CTY198 DDT197:DDU198 DNP197:DNQ198 DXL197:DXM198 EHH197:EHI198 ERD197:ERE198 FAZ197:FBA198 FKV197:FKW198 FUR197:FUS198 GEN197:GEO198 GOJ197:GOK198 GYF197:GYG198 HIB197:HIC198 HRX197:HRY198 IBT197:IBU198 ILP197:ILQ198 IVL197:IVM198 JFH197:JFI198 JPD197:JPE198 JYZ197:JZA198 KIV197:KIW198 KSR197:KSS198 LCN197:LCO198 LMJ197:LMK198 LWF197:LWG198 MGB197:MGC198 MPX197:MPY198 MZT197:MZU198 NJP197:NJQ198 NTL197:NTM198 ODH197:ODI198 OND197:ONE198 OWZ197:OXA198 PGV197:PGW198 PQR197:PQS198 QAN197:QAO198 QKJ197:QKK198 QUF197:QUG198 REB197:REC198 RNX197:RNY198 RXT197:RXU198 SHP197:SHQ198 SRL197:SRM198 TBH197:TBI198 TLD197:TLE198 TUZ197:TVA198 UEV197:UEW198 UOR197:UOS198 UYN197:UYO198 VIJ197:VIK198 VSF197:VSG198 WCB197:WCC198 WLX197:WLY198 WVT197:WVU198 WMG198 JL197:JM198 TH197:TI198 ADD197:ADE198 AMZ197:ANA198 AWV197:AWW198 BGR197:BGS198 BQN197:BQO198 CAJ197:CAK198 CKF197:CKG198 CUB197:CUC198 DDX197:DDY198 DNT197:DNU198 DXP197:DXQ198 EHL197:EHM198 ERH197:ERI198 FBD197:FBE198 FKZ197:FLA198 FUV197:FUW198 GER197:GES198 GON197:GOO198 GYJ197:GYK198 HIF197:HIG198 HSB197:HSC198 IBX197:IBY198 ILT197:ILU198 IVP197:IVQ198 JFL197:JFM198 JPH197:JPI198 JZD197:JZE198 KIZ197:KJA198 KSV197:KSW198 LCR197:LCS198 LMN197:LMO198 LWJ197:LWK198 MGF197:MGG198 MQB197:MQC198 MZX197:MZY198 NJT197:NJU198 NTP197:NTQ198 ODL197:ODM198 ONH197:ONI198 OXD197:OXE198 PGZ197:PHA198 PQV197:PQW198 QAR197:QAS198 QKN197:QKO198 QUJ197:QUK198 REF197:REG198 ROB197:ROC198 RXX197:RXY198 SHT197:SHU198 SRP197:SRQ198 TBL197:TBM198 TLH197:TLI198 TVD197:TVE198 UEZ197:UFA198 UOV197:UOW198 UYR197:UYS198 VIN197:VIO198 VSJ197:VSK198 WCF197:WCG198 WMB197:WMC198 WVX197:WVY198 WWC198 JO197:JO198 TK197:TK198 ADG197:ADG198 ANC197:ANC198 AWY197:AWY198 BGU197:BGU198 BQQ197:BQQ198 CAM197:CAM198 CKI197:CKI198 CUE197:CUE198 DEA197:DEA198 DNW197:DNW198 DXS197:DXS198 EHO197:EHO198 ERK197:ERK198 FBG197:FBG198 FLC197:FLC198 FUY197:FUY198 GEU197:GEU198 GOQ197:GOQ198 GYM197:GYM198 HII197:HII198 HSE197:HSE198 ICA197:ICA198 ILW197:ILW198 IVS197:IVS198 JFO197:JFO198 JPK197:JPK198 JZG197:JZG198 KJC197:KJC198 KSY197:KSY198 LCU197:LCU198 LMQ197:LMQ198 LWM197:LWM198 MGI197:MGI198 MQE197:MQE198 NAA197:NAA198 NJW197:NJW198 NTS197:NTS198 ODO197:ODO198 ONK197:ONK198 OXG197:OXG198 PHC197:PHC198 PQY197:PQY198 QAU197:QAU198 QKQ197:QKQ198 QUM197:QUM198 REI197:REI198 ROE197:ROE198 RYA197:RYA198 SHW197:SHW198 SRS197:SRS198 TBO197:TBO198 TLK197:TLK198 TVG197:TVG198 UFC197:UFC198 UOY197:UOY198 UYU197:UYU198 VIQ197:VIQ198 VSM197:VSM198 WCI197:WCI198 WME197:WME198 WWA197:WWA198 VIS198 JP197:JQ197 TL197:TM197 ADH197:ADI197 AND197:ANE197 AWZ197:AXA197 BGV197:BGW197 BQR197:BQS197 CAN197:CAO197 CKJ197:CKK197 CUF197:CUG197 DEB197:DEC197 DNX197:DNY197 DXT197:DXU197 EHP197:EHQ197 ERL197:ERM197 FBH197:FBI197 FLD197:FLE197 FUZ197:FVA197 GEV197:GEW197 GOR197:GOS197 GYN197:GYO197 HIJ197:HIK197 HSF197:HSG197 ICB197:ICC197 ILX197:ILY197 IVT197:IVU197 JFP197:JFQ197 JPL197:JPM197 JZH197:JZI197 KJD197:KJE197 KSZ197:KTA197 LCV197:LCW197 LMR197:LMS197 LWN197:LWO197 MGJ197:MGK197 MQF197:MQG197 NAB197:NAC197 NJX197:NJY197 NTT197:NTU197 ODP197:ODQ197 ONL197:ONM197 OXH197:OXI197 PHD197:PHE197 PQZ197:PRA197 QAV197:QAW197 QKR197:QKS197 QUN197:QUO197 REJ197:REK197 ROF197:ROG197 RYB197:RYC197 SHX197:SHY197 SRT197:SRU197 TBP197:TBQ197 TLL197:TLM197 TVH197:TVI197 UFD197:UFE197 UOZ197:UPA197 UYV197:UYW197 VIR197:VIS197 VSN197:VSO197 WCJ197:WCK197 WMF197:WMG197 WWB197:WWC197 JQ198 TM198 ADI198 ANE198 AXA198 BGW198 BQS198 CAO198 CKK198 CUG198 DEC198 DNY198 DXU198 EHQ198 ERM198 FBI198 FLE198 FVA198 GEW198 GOS198 GYO198 HIK198 HSG198 ICC198 ILY198 IVU198 JFQ198 JPM198 JZI198 KJE198 KTA198 LCW198 LMS198 LWO198 MGK198 MQG198 NAC198 NJY198 NTU198 ODQ198 ONM198 OXI198 PHE198 PRA198 QAW198 QKS198 QUO198 REK198 ROG198 RYC198 SHY198 SRU198 TBQ198 TLM198 TVI198 UFE198 UPA198 UYW198 S197:S198 M197:M205 T197:U197 P197:Q198 L209:L217 VSO217 WCK217 JH216:JI217 TD216:TE217 ACZ216:ADA217 AMV216:AMW217 AWR216:AWS217 BGN216:BGO217 BQJ216:BQK217 CAF216:CAG217 CKB216:CKC217 CTX216:CTY217 DDT216:DDU217 DNP216:DNQ217 DXL216:DXM217 EHH216:EHI217 ERD216:ERE217 FAZ216:FBA217 FKV216:FKW217 FUR216:FUS217 GEN216:GEO217 GOJ216:GOK217 GYF216:GYG217 HIB216:HIC217 HRX216:HRY217 IBT216:IBU217 ILP216:ILQ217 IVL216:IVM217 JFH216:JFI217 JPD216:JPE217 JYZ216:JZA217 KIV216:KIW217 KSR216:KSS217 LCN216:LCO217 LMJ216:LMK217 LWF216:LWG217 MGB216:MGC217 MPX216:MPY217 MZT216:MZU217 NJP216:NJQ217 NTL216:NTM217 ODH216:ODI217 OND216:ONE217 OWZ216:OXA217 PGV216:PGW217 PQR216:PQS217 QAN216:QAO217 QKJ216:QKK217 QUF216:QUG217 REB216:REC217 RNX216:RNY217 RXT216:RXU217 SHP216:SHQ217 SRL216:SRM217 TBH216:TBI217 TLD216:TLE217 TUZ216:TVA217 UEV216:UEW217 UOR216:UOS217 UYN216:UYO217 VIJ216:VIK217 VSF216:VSG217 WCB216:WCC217 WLX216:WLY217 WVT216:WVU217 WMG217 JL216:JM217 TH216:TI217 ADD216:ADE217 AMZ216:ANA217 AWV216:AWW217 BGR216:BGS217 BQN216:BQO217 CAJ216:CAK217 CKF216:CKG217 CUB216:CUC217 DDX216:DDY217 DNT216:DNU217 DXP216:DXQ217 EHL216:EHM217 ERH216:ERI217 FBD216:FBE217 FKZ216:FLA217 FUV216:FUW217 GER216:GES217 GON216:GOO217 GYJ216:GYK217 HIF216:HIG217 HSB216:HSC217 IBX216:IBY217 ILT216:ILU217 IVP216:IVQ217 JFL216:JFM217 JPH216:JPI217 JZD216:JZE217 KIZ216:KJA217 KSV216:KSW217 LCR216:LCS217 LMN216:LMO217 LWJ216:LWK217 MGF216:MGG217 MQB216:MQC217 MZX216:MZY217 NJT216:NJU217 NTP216:NTQ217 ODL216:ODM217 ONH216:ONI217 OXD216:OXE217 PGZ216:PHA217 PQV216:PQW217 QAR216:QAS217 QKN216:QKO217 QUJ216:QUK217 REF216:REG217 ROB216:ROC217 RXX216:RXY217 SHT216:SHU217 SRP216:SRQ217 TBL216:TBM217 TLH216:TLI217 TVD216:TVE217 UEZ216:UFA217 UOV216:UOW217 UYR216:UYS217 VIN216:VIO217 VSJ216:VSK217 WCF216:WCG217 WMB216:WMC217 WVX216:WVY217 WWC217 JO216:JO217 TK216:TK217 ADG216:ADG217 ANC216:ANC217 AWY216:AWY217 BGU216:BGU217 BQQ216:BQQ217 CAM216:CAM217 CKI216:CKI217 CUE216:CUE217 DEA216:DEA217 DNW216:DNW217 DXS216:DXS217 EHO216:EHO217 ERK216:ERK217 FBG216:FBG217 FLC216:FLC217 FUY216:FUY217 GEU216:GEU217 GOQ216:GOQ217 GYM216:GYM217 HII216:HII217 HSE216:HSE217 ICA216:ICA217 ILW216:ILW217 IVS216:IVS217 JFO216:JFO217 JPK216:JPK217 JZG216:JZG217 KJC216:KJC217 KSY216:KSY217 LCU216:LCU217 LMQ216:LMQ217 LWM216:LWM217 MGI216:MGI217 MQE216:MQE217 NAA216:NAA217 NJW216:NJW217 NTS216:NTS217 ODO216:ODO217 ONK216:ONK217 OXG216:OXG217 PHC216:PHC217 PQY216:PQY217 QAU216:QAU217 QKQ216:QKQ217 QUM216:QUM217 REI216:REI217 ROE216:ROE217 RYA216:RYA217 SHW216:SHW217 SRS216:SRS217 TBO216:TBO217 TLK216:TLK217 TVG216:TVG217 UFC216:UFC217 UOY216:UOY217 UYU216:UYU217 VIQ216:VIQ217 VSM216:VSM217 WCI216:WCI217 WME216:WME217 WWA216:WWA217 VIS217 JP216:JQ216 TL216:TM216 ADH216:ADI216 AND216:ANE216 AWZ216:AXA216 BGV216:BGW216 BQR216:BQS216 CAN216:CAO216 CKJ216:CKK216 CUF216:CUG216 DEB216:DEC216 DNX216:DNY216 DXT216:DXU216 EHP216:EHQ216 ERL216:ERM216 FBH216:FBI216 FLD216:FLE216 FUZ216:FVA216 GEV216:GEW216 GOR216:GOS216 GYN216:GYO216 HIJ216:HIK216 HSF216:HSG216 ICB216:ICC216 ILX216:ILY216 IVT216:IVU216 JFP216:JFQ216 JPL216:JPM216 JZH216:JZI216 KJD216:KJE216 KSZ216:KTA216 LCV216:LCW216 LMR216:LMS216 LWN216:LWO216 MGJ216:MGK216 MQF216:MQG216 NAB216:NAC216 NJX216:NJY216 NTT216:NTU216 ODP216:ODQ216 ONL216:ONM216 OXH216:OXI216 PHD216:PHE216 PQZ216:PRA216 QAV216:QAW216 QKR216:QKS216 QUN216:QUO216 REJ216:REK216 ROF216:ROG216 RYB216:RYC216 SHX216:SHY216 SRT216:SRU216 TBP216:TBQ216 TLL216:TLM216 TVH216:TVI216 UFD216:UFE216 UOZ216:UPA216 UYV216:UYW216 VIR216:VIS216 VSN216:VSO216 WCJ216:WCK216 WMF216:WMG216 WWB216:WWC216 JQ217 TM217 ADI217 ANE217 AXA217 BGW217 BQS217 CAO217 CKK217 CUG217 DEC217 DNY217 DXU217 EHQ217 ERM217 FBI217 FLE217 FVA217 GEW217 GOS217 GYO217 HIK217 HSG217 ICC217 ILY217 IVU217 JFQ217 JPM217 JZI217 KJE217 KTA217 LCW217 LMS217 LWO217 MGK217 MQG217 NAC217 NJY217 NTU217 ODQ217 ONM217 OXI217 PHE217 PRA217 QAW217 QKS217 QUO217 REK217 ROG217 RYC217 SHY217 SRU217 TBQ217 TLM217 TVI217 UFE217 UPA217 UYW217 S216:S217 M216:M225 T216:U216 P216:Q217 U217:U218 L236:L240 VSO240 WCK240 JH239:JI240 TD239:TE240 ACZ239:ADA240 AMV239:AMW240 AWR239:AWS240 BGN239:BGO240 BQJ239:BQK240 CAF239:CAG240 CKB239:CKC240 CTX239:CTY240 DDT239:DDU240 DNP239:DNQ240 DXL239:DXM240 EHH239:EHI240 ERD239:ERE240 FAZ239:FBA240 FKV239:FKW240 FUR239:FUS240 GEN239:GEO240 GOJ239:GOK240 GYF239:GYG240 HIB239:HIC240 HRX239:HRY240 IBT239:IBU240 ILP239:ILQ240 IVL239:IVM240 JFH239:JFI240 JPD239:JPE240 JYZ239:JZA240 KIV239:KIW240 KSR239:KSS240 LCN239:LCO240 LMJ239:LMK240 LWF239:LWG240 MGB239:MGC240 MPX239:MPY240 MZT239:MZU240 NJP239:NJQ240 NTL239:NTM240 ODH239:ODI240 OND239:ONE240 OWZ239:OXA240 PGV239:PGW240 PQR239:PQS240 QAN239:QAO240 QKJ239:QKK240 QUF239:QUG240 REB239:REC240 RNX239:RNY240 RXT239:RXU240 SHP239:SHQ240 SRL239:SRM240 TBH239:TBI240 TLD239:TLE240 TUZ239:TVA240 UEV239:UEW240 UOR239:UOS240 UYN239:UYO240 VIJ239:VIK240 VSF239:VSG240 WCB239:WCC240 WLX239:WLY240 WVT239:WVU240 WMG240 JL239:JM240 TH239:TI240 ADD239:ADE240 AMZ239:ANA240 AWV239:AWW240 BGR239:BGS240 BQN239:BQO240 CAJ239:CAK240 CKF239:CKG240 CUB239:CUC240 DDX239:DDY240 DNT239:DNU240 DXP239:DXQ240 EHL239:EHM240 ERH239:ERI240 FBD239:FBE240 FKZ239:FLA240 FUV239:FUW240 GER239:GES240 GON239:GOO240 GYJ239:GYK240 HIF239:HIG240 HSB239:HSC240 IBX239:IBY240 ILT239:ILU240 IVP239:IVQ240 JFL239:JFM240 JPH239:JPI240 JZD239:JZE240 KIZ239:KJA240 KSV239:KSW240 LCR239:LCS240 LMN239:LMO240 LWJ239:LWK240 MGF239:MGG240 MQB239:MQC240 MZX239:MZY240 NJT239:NJU240 NTP239:NTQ240 ODL239:ODM240 ONH239:ONI240 OXD239:OXE240 PGZ239:PHA240 PQV239:PQW240 QAR239:QAS240 QKN239:QKO240 QUJ239:QUK240 REF239:REG240 ROB239:ROC240 RXX239:RXY240 SHT239:SHU240 SRP239:SRQ240 TBL239:TBM240 TLH239:TLI240 TVD239:TVE240 UEZ239:UFA240 UOV239:UOW240 UYR239:UYS240 VIN239:VIO240 VSJ239:VSK240 WCF239:WCG240 WMB239:WMC240 WVX239:WVY240 WWC240 JO239:JO240 TK239:TK240 ADG239:ADG240 ANC239:ANC240 AWY239:AWY240 BGU239:BGU240 BQQ239:BQQ240 CAM239:CAM240 CKI239:CKI240 CUE239:CUE240 DEA239:DEA240 DNW239:DNW240 DXS239:DXS240 EHO239:EHO240 ERK239:ERK240 FBG239:FBG240 FLC239:FLC240 FUY239:FUY240 GEU239:GEU240 GOQ239:GOQ240 GYM239:GYM240 HII239:HII240 HSE239:HSE240 ICA239:ICA240 ILW239:ILW240 IVS239:IVS240 JFO239:JFO240 JPK239:JPK240 JZG239:JZG240 KJC239:KJC240 KSY239:KSY240 LCU239:LCU240 LMQ239:LMQ240 LWM239:LWM240 MGI239:MGI240 MQE239:MQE240 NAA239:NAA240 NJW239:NJW240 NTS239:NTS240 ODO239:ODO240 ONK239:ONK240 OXG239:OXG240 PHC239:PHC240 PQY239:PQY240 QAU239:QAU240 QKQ239:QKQ240 QUM239:QUM240 REI239:REI240 ROE239:ROE240 RYA239:RYA240 SHW239:SHW240 SRS239:SRS240 TBO239:TBO240 TLK239:TLK240 TVG239:TVG240 UFC239:UFC240 UOY239:UOY240 UYU239:UYU240 VIQ239:VIQ240 VSM239:VSM240 WCI239:WCI240 WME239:WME240 WWA239:WWA240 VIS240 JP239:JQ239 TL239:TM239 ADH239:ADI239 AND239:ANE239 AWZ239:AXA239 BGV239:BGW239 BQR239:BQS239 CAN239:CAO239 CKJ239:CKK239 CUF239:CUG239 DEB239:DEC239 DNX239:DNY239 DXT239:DXU239 EHP239:EHQ239 ERL239:ERM239 FBH239:FBI239 FLD239:FLE239 FUZ239:FVA239 GEV239:GEW239 GOR239:GOS239 GYN239:GYO239 HIJ239:HIK239 HSF239:HSG239 ICB239:ICC239 ILX239:ILY239 IVT239:IVU239 JFP239:JFQ239 JPL239:JPM239 JZH239:JZI239 KJD239:KJE239 KSZ239:KTA239 LCV239:LCW239 LMR239:LMS239 LWN239:LWO239 MGJ239:MGK239 MQF239:MQG239 NAB239:NAC239 NJX239:NJY239 NTT239:NTU239 ODP239:ODQ239 ONL239:ONM239 OXH239:OXI239 PHD239:PHE239 PQZ239:PRA239 QAV239:QAW239 QKR239:QKS239 QUN239:QUO239 REJ239:REK239 ROF239:ROG239 RYB239:RYC239 SHX239:SHY239 SRT239:SRU239 TBP239:TBQ239 TLL239:TLM239 TVH239:TVI239 UFD239:UFE239 UOZ239:UPA239 UYV239:UYW239 VIR239:VIS239 VSN239:VSO239 WCJ239:WCK239 WMF239:WMG239 WWB239:WWC239 JQ240 TM240 ADI240 ANE240 AXA240 BGW240 BQS240 CAO240 CKK240 CUG240 DEC240 DNY240 DXU240 EHQ240 ERM240 FBI240 FLE240 FVA240 GEW240 GOS240 GYO240 HIK240 HSG240 ICC240 ILY240 IVU240 JFQ240 JPM240 JZI240 KJE240 KTA240 LCW240 LMS240 LWO240 MGK240 MQG240 NAC240 NJY240 NTU240 ODQ240 ONM240 OXI240 PHE240 PRA240 QAW240 QKS240 QUO240 REK240 ROG240 RYC240 SHY240 SRU240 TBQ240 TLM240 TVI240 UFE240 UPA240 UYW240 S239:S240 M239:M249 T239:U239 P239:Q240 U240:U241 L260:L264 VSO264 WCK264 JH263:JI264 TD263:TE264 ACZ263:ADA264 AMV263:AMW264 AWR263:AWS264 BGN263:BGO264 BQJ263:BQK264 CAF263:CAG264 CKB263:CKC264 CTX263:CTY264 DDT263:DDU264 DNP263:DNQ264 DXL263:DXM264 EHH263:EHI264 ERD263:ERE264 FAZ263:FBA264 FKV263:FKW264 FUR263:FUS264 GEN263:GEO264 GOJ263:GOK264 GYF263:GYG264 HIB263:HIC264 HRX263:HRY264 IBT263:IBU264 ILP263:ILQ264 IVL263:IVM264 JFH263:JFI264 JPD263:JPE264 JYZ263:JZA264 KIV263:KIW264 KSR263:KSS264 LCN263:LCO264 LMJ263:LMK264 LWF263:LWG264 MGB263:MGC264 MPX263:MPY264 MZT263:MZU264 NJP263:NJQ264 NTL263:NTM264 ODH263:ODI264 OND263:ONE264 OWZ263:OXA264 PGV263:PGW264 PQR263:PQS264 QAN263:QAO264 QKJ263:QKK264 QUF263:QUG264 REB263:REC264 RNX263:RNY264 RXT263:RXU264 SHP263:SHQ264 SRL263:SRM264 TBH263:TBI264 TLD263:TLE264 TUZ263:TVA264 UEV263:UEW264 UOR263:UOS264 UYN263:UYO264 VIJ263:VIK264 VSF263:VSG264 WCB263:WCC264 WLX263:WLY264 WVT263:WVU264 WMG264 JL263:JM264 TH263:TI264 ADD263:ADE264 AMZ263:ANA264 AWV263:AWW264 BGR263:BGS264 BQN263:BQO264 CAJ263:CAK264 CKF263:CKG264 CUB263:CUC264 DDX263:DDY264 DNT263:DNU264 DXP263:DXQ264 EHL263:EHM264 ERH263:ERI264 FBD263:FBE264 FKZ263:FLA264 FUV263:FUW264 GER263:GES264 GON263:GOO264 GYJ263:GYK264 HIF263:HIG264 HSB263:HSC264 IBX263:IBY264 ILT263:ILU264 IVP263:IVQ264 JFL263:JFM264 JPH263:JPI264 JZD263:JZE264 KIZ263:KJA264 KSV263:KSW264 LCR263:LCS264 LMN263:LMO264 LWJ263:LWK264 MGF263:MGG264 MQB263:MQC264 MZX263:MZY264 NJT263:NJU264 NTP263:NTQ264 ODL263:ODM264 ONH263:ONI264 OXD263:OXE264 PGZ263:PHA264 PQV263:PQW264 QAR263:QAS264 QKN263:QKO264 QUJ263:QUK264 REF263:REG264 ROB263:ROC264 RXX263:RXY264 SHT263:SHU264 SRP263:SRQ264 TBL263:TBM264 TLH263:TLI264 TVD263:TVE264 UEZ263:UFA264 UOV263:UOW264 UYR263:UYS264 VIN263:VIO264 VSJ263:VSK264 WCF263:WCG264 WMB263:WMC264 WVX263:WVY264 WWC264 JO263:JO264 TK263:TK264 ADG263:ADG264 ANC263:ANC264 AWY263:AWY264 BGU263:BGU264 BQQ263:BQQ264 CAM263:CAM264 CKI263:CKI264 CUE263:CUE264 DEA263:DEA264 DNW263:DNW264 DXS263:DXS264 EHO263:EHO264 ERK263:ERK264 FBG263:FBG264 FLC263:FLC264 FUY263:FUY264 GEU263:GEU264 GOQ263:GOQ264 GYM263:GYM264 HII263:HII264 HSE263:HSE264 ICA263:ICA264 ILW263:ILW264 IVS263:IVS264 JFO263:JFO264 JPK263:JPK264 JZG263:JZG264 KJC263:KJC264 KSY263:KSY264 LCU263:LCU264 LMQ263:LMQ264 LWM263:LWM264 MGI263:MGI264 MQE263:MQE264 NAA263:NAA264 NJW263:NJW264 NTS263:NTS264 ODO263:ODO264 ONK263:ONK264 OXG263:OXG264 PHC263:PHC264 PQY263:PQY264 QAU263:QAU264 QKQ263:QKQ264 QUM263:QUM264 REI263:REI264 ROE263:ROE264 RYA263:RYA264 SHW263:SHW264 SRS263:SRS264 TBO263:TBO264 TLK263:TLK264 TVG263:TVG264 UFC263:UFC264 UOY263:UOY264 UYU263:UYU264 VIQ263:VIQ264 VSM263:VSM264 WCI263:WCI264 WME263:WME264 WWA263:WWA264 VIS264 JP263:JQ263 TL263:TM263 ADH263:ADI263 AND263:ANE263 AWZ263:AXA263 BGV263:BGW263 BQR263:BQS263 CAN263:CAO263 CKJ263:CKK263 CUF263:CUG263 DEB263:DEC263 DNX263:DNY263 DXT263:DXU263 EHP263:EHQ263 ERL263:ERM263 FBH263:FBI263 FLD263:FLE263 FUZ263:FVA263 GEV263:GEW263 GOR263:GOS263 GYN263:GYO263 HIJ263:HIK263 HSF263:HSG263 ICB263:ICC263 ILX263:ILY263 IVT263:IVU263 JFP263:JFQ263 JPL263:JPM263 JZH263:JZI263 KJD263:KJE263 KSZ263:KTA263 LCV263:LCW263 LMR263:LMS263 LWN263:LWO263 MGJ263:MGK263 MQF263:MQG263 NAB263:NAC263 NJX263:NJY263 NTT263:NTU263 ODP263:ODQ263 ONL263:ONM263 OXH263:OXI263 PHD263:PHE263 PQZ263:PRA263 QAV263:QAW263 QKR263:QKS263 QUN263:QUO263 REJ263:REK263 ROF263:ROG263 RYB263:RYC263 SHX263:SHY263 SRT263:SRU263 TBP263:TBQ263 TLL263:TLM263 TVH263:TVI263 UFD263:UFE263 UOZ263:UPA263 UYV263:UYW263 VIR263:VIS263 VSN263:VSO263 WCJ263:WCK263 WMF263:WMG263 WWB263:WWC263 JQ264 TM264 ADI264 ANE264 AXA264 BGW264 BQS264 CAO264 CKK264 CUG264 DEC264 DNY264 DXU264 EHQ264 ERM264 FBI264 FLE264 FVA264 GEW264 GOS264 GYO264 HIK264 HSG264 ICC264 ILY264 IVU264 JFQ264 JPM264 JZI264 KJE264 KTA264 LCW264 LMS264 LWO264 MGK264 MQG264 NAC264 NJY264 NTU264 ODQ264 ONM264 OXI264 PHE264 PRA264 QAW264 QKS264 QUO264 REK264 ROG264 RYC264 SHY264 SRU264 TBQ264 TLM264 TVI264 UFE264 UPA264 UYW264 S263:S264 M263:M273 T263:U263 P263:Q264 U264:U265 L284:L288 VSO288 WCK288 JH287:JI288 TD287:TE288 ACZ287:ADA288 AMV287:AMW288 AWR287:AWS288 BGN287:BGO288 BQJ287:BQK288 CAF287:CAG288 CKB287:CKC288 CTX287:CTY288 DDT287:DDU288 DNP287:DNQ288 DXL287:DXM288 EHH287:EHI288 ERD287:ERE288 FAZ287:FBA288 FKV287:FKW288 FUR287:FUS288 GEN287:GEO288 GOJ287:GOK288 GYF287:GYG288 HIB287:HIC288 HRX287:HRY288 IBT287:IBU288 ILP287:ILQ288 IVL287:IVM288 JFH287:JFI288 JPD287:JPE288 JYZ287:JZA288 KIV287:KIW288 KSR287:KSS288 LCN287:LCO288 LMJ287:LMK288 LWF287:LWG288 MGB287:MGC288 MPX287:MPY288 MZT287:MZU288 NJP287:NJQ288 NTL287:NTM288 ODH287:ODI288 OND287:ONE288 OWZ287:OXA288 PGV287:PGW288 PQR287:PQS288 QAN287:QAO288 QKJ287:QKK288 QUF287:QUG288 REB287:REC288 RNX287:RNY288 RXT287:RXU288 SHP287:SHQ288 SRL287:SRM288 TBH287:TBI288 TLD287:TLE288 TUZ287:TVA288 UEV287:UEW288 UOR287:UOS288 UYN287:UYO288 VIJ287:VIK288 VSF287:VSG288 WCB287:WCC288 WLX287:WLY288 WVT287:WVU288 WMG288 JL287:JM288 TH287:TI288 ADD287:ADE288 AMZ287:ANA288 AWV287:AWW288 BGR287:BGS288 BQN287:BQO288 CAJ287:CAK288 CKF287:CKG288 CUB287:CUC288 DDX287:DDY288 DNT287:DNU288 DXP287:DXQ288 EHL287:EHM288 ERH287:ERI288 FBD287:FBE288 FKZ287:FLA288 FUV287:FUW288 GER287:GES288 GON287:GOO288 GYJ287:GYK288 HIF287:HIG288 HSB287:HSC288 IBX287:IBY288 ILT287:ILU288 IVP287:IVQ288 JFL287:JFM288 JPH287:JPI288 JZD287:JZE288 KIZ287:KJA288 KSV287:KSW288 LCR287:LCS288 LMN287:LMO288 LWJ287:LWK288 MGF287:MGG288 MQB287:MQC288 MZX287:MZY288 NJT287:NJU288 NTP287:NTQ288 ODL287:ODM288 ONH287:ONI288 OXD287:OXE288 PGZ287:PHA288 PQV287:PQW288 QAR287:QAS288 QKN287:QKO288 QUJ287:QUK288 REF287:REG288 ROB287:ROC288 RXX287:RXY288 SHT287:SHU288 SRP287:SRQ288 TBL287:TBM288 TLH287:TLI288 TVD287:TVE288 UEZ287:UFA288 UOV287:UOW288 UYR287:UYS288 VIN287:VIO288 VSJ287:VSK288 WCF287:WCG288 WMB287:WMC288 WVX287:WVY288 WWC288 JO287:JO288 TK287:TK288 ADG287:ADG288 ANC287:ANC288 AWY287:AWY288 BGU287:BGU288 BQQ287:BQQ288 CAM287:CAM288 CKI287:CKI288 CUE287:CUE288 DEA287:DEA288 DNW287:DNW288 DXS287:DXS288 EHO287:EHO288 ERK287:ERK288 FBG287:FBG288 FLC287:FLC288 FUY287:FUY288 GEU287:GEU288 GOQ287:GOQ288 GYM287:GYM288 HII287:HII288 HSE287:HSE288 ICA287:ICA288 ILW287:ILW288 IVS287:IVS288 JFO287:JFO288 JPK287:JPK288 JZG287:JZG288 KJC287:KJC288 KSY287:KSY288 LCU287:LCU288 LMQ287:LMQ288 LWM287:LWM288 MGI287:MGI288 MQE287:MQE288 NAA287:NAA288 NJW287:NJW288 NTS287:NTS288 ODO287:ODO288 ONK287:ONK288 OXG287:OXG288 PHC287:PHC288 PQY287:PQY288 QAU287:QAU288 QKQ287:QKQ288 QUM287:QUM288 REI287:REI288 ROE287:ROE288 RYA287:RYA288 SHW287:SHW288 SRS287:SRS288 TBO287:TBO288 TLK287:TLK288 TVG287:TVG288 UFC287:UFC288 UOY287:UOY288 UYU287:UYU288 VIQ287:VIQ288 VSM287:VSM288 WCI287:WCI288 WME287:WME288 WWA287:WWA288 VIS288 JP287:JQ287 TL287:TM287 ADH287:ADI287 AND287:ANE287 AWZ287:AXA287 BGV287:BGW287 BQR287:BQS287 CAN287:CAO287 CKJ287:CKK287 CUF287:CUG287 DEB287:DEC287 DNX287:DNY287 DXT287:DXU287 EHP287:EHQ287 ERL287:ERM287 FBH287:FBI287 FLD287:FLE287 FUZ287:FVA287 GEV287:GEW287 GOR287:GOS287 GYN287:GYO287 HIJ287:HIK287 HSF287:HSG287 ICB287:ICC287 ILX287:ILY287 IVT287:IVU287 JFP287:JFQ287 JPL287:JPM287 JZH287:JZI287 KJD287:KJE287 KSZ287:KTA287 LCV287:LCW287 LMR287:LMS287 LWN287:LWO287 MGJ287:MGK287 MQF287:MQG287 NAB287:NAC287 NJX287:NJY287 NTT287:NTU287 ODP287:ODQ287 ONL287:ONM287 OXH287:OXI287 PHD287:PHE287 PQZ287:PRA287 QAV287:QAW287 QKR287:QKS287 QUN287:QUO287 REJ287:REK287 ROF287:ROG287 RYB287:RYC287 SHX287:SHY287 SRT287:SRU287 TBP287:TBQ287 TLL287:TLM287 TVH287:TVI287 UFD287:UFE287 UOZ287:UPA287 UYV287:UYW287 VIR287:VIS287 VSN287:VSO287 WCJ287:WCK287 WMF287:WMG287 WWB287:WWC287 JQ288 TM288 ADI288 ANE288 AXA288 BGW288 BQS288 CAO288 CKK288 CUG288 DEC288 DNY288 DXU288 EHQ288 ERM288 FBI288 FLE288 FVA288 GEW288 GOS288 GYO288 HIK288 HSG288 ICC288 ILY288 IVU288 JFQ288 JPM288 JZI288 KJE288 KTA288 LCW288 LMS288 LWO288 MGK288 MQG288 NAC288 NJY288 NTU288 ODQ288 ONM288 OXI288 PHE288 PRA288 QAW288 QKS288 QUO288 REK288 ROG288 RYC288 SHY288 SRU288 TBQ288 TLM288 TVI288 UFE288 UPA288 UYW288 S287:S288 M287:M293 T287:U287 P287:Q288 L304:L308 VSO308 WCK308 JH307:JI308 TD307:TE308 ACZ307:ADA308 AMV307:AMW308 AWR307:AWS308 BGN307:BGO308 BQJ307:BQK308 CAF307:CAG308 CKB307:CKC308 CTX307:CTY308 DDT307:DDU308 DNP307:DNQ308 DXL307:DXM308 EHH307:EHI308 ERD307:ERE308 FAZ307:FBA308 FKV307:FKW308 FUR307:FUS308 GEN307:GEO308 GOJ307:GOK308 GYF307:GYG308 HIB307:HIC308 HRX307:HRY308 IBT307:IBU308 ILP307:ILQ308 IVL307:IVM308 JFH307:JFI308 JPD307:JPE308 JYZ307:JZA308 KIV307:KIW308 KSR307:KSS308 LCN307:LCO308 LMJ307:LMK308 LWF307:LWG308 MGB307:MGC308 MPX307:MPY308 MZT307:MZU308 NJP307:NJQ308 NTL307:NTM308 ODH307:ODI308 OND307:ONE308 OWZ307:OXA308 PGV307:PGW308 PQR307:PQS308 QAN307:QAO308 QKJ307:QKK308 QUF307:QUG308 REB307:REC308 RNX307:RNY308 RXT307:RXU308 SHP307:SHQ308 SRL307:SRM308 TBH307:TBI308 TLD307:TLE308 TUZ307:TVA308 UEV307:UEW308 UOR307:UOS308 UYN307:UYO308 VIJ307:VIK308 VSF307:VSG308 WCB307:WCC308 WLX307:WLY308 WVT307:WVU308 WMG308 JL307:JM308 TH307:TI308 ADD307:ADE308 AMZ307:ANA308 AWV307:AWW308 BGR307:BGS308 BQN307:BQO308 CAJ307:CAK308 CKF307:CKG308 CUB307:CUC308 DDX307:DDY308 DNT307:DNU308 DXP307:DXQ308 EHL307:EHM308 ERH307:ERI308 FBD307:FBE308 FKZ307:FLA308 FUV307:FUW308 GER307:GES308 GON307:GOO308 GYJ307:GYK308 HIF307:HIG308 HSB307:HSC308 IBX307:IBY308 ILT307:ILU308 IVP307:IVQ308 JFL307:JFM308 JPH307:JPI308 JZD307:JZE308 KIZ307:KJA308 KSV307:KSW308 LCR307:LCS308 LMN307:LMO308 LWJ307:LWK308 MGF307:MGG308 MQB307:MQC308 MZX307:MZY308 NJT307:NJU308 NTP307:NTQ308 ODL307:ODM308 ONH307:ONI308 OXD307:OXE308 PGZ307:PHA308 PQV307:PQW308 QAR307:QAS308 QKN307:QKO308 QUJ307:QUK308 REF307:REG308 ROB307:ROC308 RXX307:RXY308 SHT307:SHU308 SRP307:SRQ308 TBL307:TBM308 TLH307:TLI308 TVD307:TVE308 UEZ307:UFA308 UOV307:UOW308 UYR307:UYS308 VIN307:VIO308 VSJ307:VSK308 WCF307:WCG308 WMB307:WMC308 WVX307:WVY308 WWC308 JO307:JO308 TK307:TK308 ADG307:ADG308 ANC307:ANC308 AWY307:AWY308 BGU307:BGU308 BQQ307:BQQ308 CAM307:CAM308 CKI307:CKI308 CUE307:CUE308 DEA307:DEA308 DNW307:DNW308 DXS307:DXS308 EHO307:EHO308 ERK307:ERK308 FBG307:FBG308 FLC307:FLC308 FUY307:FUY308 GEU307:GEU308 GOQ307:GOQ308 GYM307:GYM308 HII307:HII308 HSE307:HSE308 ICA307:ICA308 ILW307:ILW308 IVS307:IVS308 JFO307:JFO308 JPK307:JPK308 JZG307:JZG308 KJC307:KJC308 KSY307:KSY308 LCU307:LCU308 LMQ307:LMQ308 LWM307:LWM308 MGI307:MGI308 MQE307:MQE308 NAA307:NAA308 NJW307:NJW308 NTS307:NTS308 ODO307:ODO308 ONK307:ONK308 OXG307:OXG308 PHC307:PHC308 PQY307:PQY308 QAU307:QAU308 QKQ307:QKQ308 QUM307:QUM308 REI307:REI308 ROE307:ROE308 RYA307:RYA308 SHW307:SHW308 SRS307:SRS308 TBO307:TBO308 TLK307:TLK308 TVG307:TVG308 UFC307:UFC308 UOY307:UOY308 UYU307:UYU308 VIQ307:VIQ308 VSM307:VSM308 WCI307:WCI308 WME307:WME308 WWA307:WWA308 VIS308 JP307:JQ307 TL307:TM307 ADH307:ADI307 AND307:ANE307 AWZ307:AXA307 BGV307:BGW307 BQR307:BQS307 CAN307:CAO307 CKJ307:CKK307 CUF307:CUG307 DEB307:DEC307 DNX307:DNY307 DXT307:DXU307 EHP307:EHQ307 ERL307:ERM307 FBH307:FBI307 FLD307:FLE307 FUZ307:FVA307 GEV307:GEW307 GOR307:GOS307 GYN307:GYO307 HIJ307:HIK307 HSF307:HSG307 ICB307:ICC307 ILX307:ILY307 IVT307:IVU307 JFP307:JFQ307 JPL307:JPM307 JZH307:JZI307 KJD307:KJE307 KSZ307:KTA307 LCV307:LCW307 LMR307:LMS307 LWN307:LWO307 MGJ307:MGK307 MQF307:MQG307 NAB307:NAC307 NJX307:NJY307 NTT307:NTU307 ODP307:ODQ307 ONL307:ONM307 OXH307:OXI307 PHD307:PHE307 PQZ307:PRA307 QAV307:QAW307 QKR307:QKS307 QUN307:QUO307 REJ307:REK307 ROF307:ROG307 RYB307:RYC307 SHX307:SHY307 SRT307:SRU307 TBP307:TBQ307 TLL307:TLM307 TVH307:TVI307 UFD307:UFE307 UOZ307:UPA307 UYV307:UYW307 VIR307:VIS307 VSN307:VSO307 WCJ307:WCK307 WMF307:WMG307 WWB307:WWC307 JQ308 TM308 ADI308 ANE308 AXA308 BGW308 BQS308 CAO308 CKK308 CUG308 DEC308 DNY308 DXU308 EHQ308 ERM308 FBI308 FLE308 FVA308 GEW308 GOS308 GYO308 HIK308 HSG308 ICC308 ILY308 IVU308 JFQ308 JPM308 JZI308 KJE308 KTA308 LCW308 LMS308 LWO308 MGK308 MQG308 NAC308 NJY308 NTU308 ODQ308 ONM308 OXI308 PHE308 PRA308 QAW308 QKS308 QUO308 REK308 ROG308 RYC308 SHY308 SRU308 TBQ308 TLM308 TVI308 UFE308 UPA308 UYW308 S307:S308 M307:M314 T307:U307 P307:Q308 L325:L329 VSO329 WCK329 JH328:JI329 TD328:TE329 ACZ328:ADA329 AMV328:AMW329 AWR328:AWS329 BGN328:BGO329 BQJ328:BQK329 CAF328:CAG329 CKB328:CKC329 CTX328:CTY329 DDT328:DDU329 DNP328:DNQ329 DXL328:DXM329 EHH328:EHI329 ERD328:ERE329 FAZ328:FBA329 FKV328:FKW329 FUR328:FUS329 GEN328:GEO329 GOJ328:GOK329 GYF328:GYG329 HIB328:HIC329 HRX328:HRY329 IBT328:IBU329 ILP328:ILQ329 IVL328:IVM329 JFH328:JFI329 JPD328:JPE329 JYZ328:JZA329 KIV328:KIW329 KSR328:KSS329 LCN328:LCO329 LMJ328:LMK329 LWF328:LWG329 MGB328:MGC329 MPX328:MPY329 MZT328:MZU329 NJP328:NJQ329 NTL328:NTM329 ODH328:ODI329 OND328:ONE329 OWZ328:OXA329 PGV328:PGW329 PQR328:PQS329 QAN328:QAO329 QKJ328:QKK329 QUF328:QUG329 REB328:REC329 RNX328:RNY329 RXT328:RXU329 SHP328:SHQ329 SRL328:SRM329 TBH328:TBI329 TLD328:TLE329 TUZ328:TVA329 UEV328:UEW329 UOR328:UOS329 UYN328:UYO329 VIJ328:VIK329 VSF328:VSG329 WCB328:WCC329 WLX328:WLY329 WVT328:WVU329 WMG329 JL328:JM329 TH328:TI329 ADD328:ADE329 AMZ328:ANA329 AWV328:AWW329 BGR328:BGS329 BQN328:BQO329 CAJ328:CAK329 CKF328:CKG329 CUB328:CUC329 DDX328:DDY329 DNT328:DNU329 DXP328:DXQ329 EHL328:EHM329 ERH328:ERI329 FBD328:FBE329 FKZ328:FLA329 FUV328:FUW329 GER328:GES329 GON328:GOO329 GYJ328:GYK329 HIF328:HIG329 HSB328:HSC329 IBX328:IBY329 ILT328:ILU329 IVP328:IVQ329 JFL328:JFM329 JPH328:JPI329 JZD328:JZE329 KIZ328:KJA329 KSV328:KSW329 LCR328:LCS329 LMN328:LMO329 LWJ328:LWK329 MGF328:MGG329 MQB328:MQC329 MZX328:MZY329 NJT328:NJU329 NTP328:NTQ329 ODL328:ODM329 ONH328:ONI329 OXD328:OXE329 PGZ328:PHA329 PQV328:PQW329 QAR328:QAS329 QKN328:QKO329 QUJ328:QUK329 REF328:REG329 ROB328:ROC329 RXX328:RXY329 SHT328:SHU329 SRP328:SRQ329 TBL328:TBM329 TLH328:TLI329 TVD328:TVE329 UEZ328:UFA329 UOV328:UOW329 UYR328:UYS329 VIN328:VIO329 VSJ328:VSK329 WCF328:WCG329 WMB328:WMC329 WVX328:WVY329 WWC329 JO328:JO329 TK328:TK329 ADG328:ADG329 ANC328:ANC329 AWY328:AWY329 BGU328:BGU329 BQQ328:BQQ329 CAM328:CAM329 CKI328:CKI329 CUE328:CUE329 DEA328:DEA329 DNW328:DNW329 DXS328:DXS329 EHO328:EHO329 ERK328:ERK329 FBG328:FBG329 FLC328:FLC329 FUY328:FUY329 GEU328:GEU329 GOQ328:GOQ329 GYM328:GYM329 HII328:HII329 HSE328:HSE329 ICA328:ICA329 ILW328:ILW329 IVS328:IVS329 JFO328:JFO329 JPK328:JPK329 JZG328:JZG329 KJC328:KJC329 KSY328:KSY329 LCU328:LCU329 LMQ328:LMQ329 LWM328:LWM329 MGI328:MGI329 MQE328:MQE329 NAA328:NAA329 NJW328:NJW329 NTS328:NTS329 ODO328:ODO329 ONK328:ONK329 OXG328:OXG329 PHC328:PHC329 PQY328:PQY329 QAU328:QAU329 QKQ328:QKQ329 QUM328:QUM329 REI328:REI329 ROE328:ROE329 RYA328:RYA329 SHW328:SHW329 SRS328:SRS329 TBO328:TBO329 TLK328:TLK329 TVG328:TVG329 UFC328:UFC329 UOY328:UOY329 UYU328:UYU329 VIQ328:VIQ329 VSM328:VSM329 WCI328:WCI329 WME328:WME329 WWA328:WWA329 VIS329 JP328:JQ328 TL328:TM328 ADH328:ADI328 AND328:ANE328 AWZ328:AXA328 BGV328:BGW328 BQR328:BQS328 CAN328:CAO328 CKJ328:CKK328 CUF328:CUG328 DEB328:DEC328 DNX328:DNY328 DXT328:DXU328 EHP328:EHQ328 ERL328:ERM328 FBH328:FBI328 FLD328:FLE328 FUZ328:FVA328 GEV328:GEW328 GOR328:GOS328 GYN328:GYO328 HIJ328:HIK328 HSF328:HSG328 ICB328:ICC328 ILX328:ILY328 IVT328:IVU328 JFP328:JFQ328 JPL328:JPM328 JZH328:JZI328 KJD328:KJE328 KSZ328:KTA328 LCV328:LCW328 LMR328:LMS328 LWN328:LWO328 MGJ328:MGK328 MQF328:MQG328 NAB328:NAC328 NJX328:NJY328 NTT328:NTU328 ODP328:ODQ328 ONL328:ONM328 OXH328:OXI328 PHD328:PHE328 PQZ328:PRA328 QAV328:QAW328 QKR328:QKS328 QUN328:QUO328 REJ328:REK328 ROF328:ROG328 RYB328:RYC328 SHX328:SHY328 SRT328:SRU328 TBP328:TBQ328 TLL328:TLM328 TVH328:TVI328 UFD328:UFE328 UOZ328:UPA328 UYV328:UYW328 VIR328:VIS328 VSN328:VSO328 WCJ328:WCK328 WMF328:WMG328 WWB328:WWC328 JQ329 TM329 ADI329 ANE329 AXA329 BGW329 BQS329 CAO329 CKK329 CUG329 DEC329 DNY329 DXU329 EHQ329 ERM329 FBI329 FLE329 FVA329 GEW329 GOS329 GYO329 HIK329 HSG329 ICC329 ILY329 IVU329 JFQ329 JPM329 JZI329 KJE329 KTA329 LCW329 LMS329 LWO329 MGK329 MQG329 NAC329 NJY329 NTU329 ODQ329 ONM329 OXI329 PHE329 PRA329 QAW329 QKS329 QUO329 REK329 ROG329 RYC329 SHY329 SRU329 TBQ329 TLM329 TVI329 UFE329 UPA329 UYW329 S328:S329 M328:M338 T328:U328 P328:Q329 U329:U330 L348:L353 VSO353 WCK353 JH352:JI353 TD352:TE353 ACZ352:ADA353 AMV352:AMW353 AWR352:AWS353 BGN352:BGO353 BQJ352:BQK353 CAF352:CAG353 CKB352:CKC353 CTX352:CTY353 DDT352:DDU353 DNP352:DNQ353 DXL352:DXM353 EHH352:EHI353 ERD352:ERE353 FAZ352:FBA353 FKV352:FKW353 FUR352:FUS353 GEN352:GEO353 GOJ352:GOK353 GYF352:GYG353 HIB352:HIC353 HRX352:HRY353 IBT352:IBU353 ILP352:ILQ353 IVL352:IVM353 JFH352:JFI353 JPD352:JPE353 JYZ352:JZA353 KIV352:KIW353 KSR352:KSS353 LCN352:LCO353 LMJ352:LMK353 LWF352:LWG353 MGB352:MGC353 MPX352:MPY353 MZT352:MZU353 NJP352:NJQ353 NTL352:NTM353 ODH352:ODI353 OND352:ONE353 OWZ352:OXA353 PGV352:PGW353 PQR352:PQS353 QAN352:QAO353 QKJ352:QKK353 QUF352:QUG353 REB352:REC353 RNX352:RNY353 RXT352:RXU353 SHP352:SHQ353 SRL352:SRM353 TBH352:TBI353 TLD352:TLE353 TUZ352:TVA353 UEV352:UEW353 UOR352:UOS353 UYN352:UYO353 VIJ352:VIK353 VSF352:VSG353 WCB352:WCC353 WLX352:WLY353 WVT352:WVU353 WMG353 JL352:JM353 TH352:TI353 ADD352:ADE353 AMZ352:ANA353 AWV352:AWW353 BGR352:BGS353 BQN352:BQO353 CAJ352:CAK353 CKF352:CKG353 CUB352:CUC353 DDX352:DDY353 DNT352:DNU353 DXP352:DXQ353 EHL352:EHM353 ERH352:ERI353 FBD352:FBE353 FKZ352:FLA353 FUV352:FUW353 GER352:GES353 GON352:GOO353 GYJ352:GYK353 HIF352:HIG353 HSB352:HSC353 IBX352:IBY353 ILT352:ILU353 IVP352:IVQ353 JFL352:JFM353 JPH352:JPI353 JZD352:JZE353 KIZ352:KJA353 KSV352:KSW353 LCR352:LCS353 LMN352:LMO353 LWJ352:LWK353 MGF352:MGG353 MQB352:MQC353 MZX352:MZY353 NJT352:NJU353 NTP352:NTQ353 ODL352:ODM353 ONH352:ONI353 OXD352:OXE353 PGZ352:PHA353 PQV352:PQW353 QAR352:QAS353 QKN352:QKO353 QUJ352:QUK353 REF352:REG353 ROB352:ROC353 RXX352:RXY353 SHT352:SHU353 SRP352:SRQ353 TBL352:TBM353 TLH352:TLI353 TVD352:TVE353 UEZ352:UFA353 UOV352:UOW353 UYR352:UYS353 VIN352:VIO353 VSJ352:VSK353 WCF352:WCG353 WMB352:WMC353 WVX352:WVY353 WWC353 JO352:JO353 TK352:TK353 ADG352:ADG353 ANC352:ANC353 AWY352:AWY353 BGU352:BGU353 BQQ352:BQQ353 CAM352:CAM353 CKI352:CKI353 CUE352:CUE353 DEA352:DEA353 DNW352:DNW353 DXS352:DXS353 EHO352:EHO353 ERK352:ERK353 FBG352:FBG353 FLC352:FLC353 FUY352:FUY353 GEU352:GEU353 GOQ352:GOQ353 GYM352:GYM353 HII352:HII353 HSE352:HSE353 ICA352:ICA353 ILW352:ILW353 IVS352:IVS353 JFO352:JFO353 JPK352:JPK353 JZG352:JZG353 KJC352:KJC353 KSY352:KSY353 LCU352:LCU353 LMQ352:LMQ353 LWM352:LWM353 MGI352:MGI353 MQE352:MQE353 NAA352:NAA353 NJW352:NJW353 NTS352:NTS353 ODO352:ODO353 ONK352:ONK353 OXG352:OXG353 PHC352:PHC353 PQY352:PQY353 QAU352:QAU353 QKQ352:QKQ353 QUM352:QUM353 REI352:REI353 ROE352:ROE353 RYA352:RYA353 SHW352:SHW353 SRS352:SRS353 TBO352:TBO353 TLK352:TLK353 TVG352:TVG353 UFC352:UFC353 UOY352:UOY353 UYU352:UYU353 VIQ352:VIQ353 VSM352:VSM353 WCI352:WCI353 WME352:WME353 WWA352:WWA353 VIS353 JP352:JQ352 TL352:TM352 ADH352:ADI352 AND352:ANE352 AWZ352:AXA352 BGV352:BGW352 BQR352:BQS352 CAN352:CAO352 CKJ352:CKK352 CUF352:CUG352 DEB352:DEC352 DNX352:DNY352 DXT352:DXU352 EHP352:EHQ352 ERL352:ERM352 FBH352:FBI352 FLD352:FLE352 FUZ352:FVA352 GEV352:GEW352 GOR352:GOS352 GYN352:GYO352 HIJ352:HIK352 HSF352:HSG352 ICB352:ICC352 ILX352:ILY352 IVT352:IVU352 JFP352:JFQ352 JPL352:JPM352 JZH352:JZI352 KJD352:KJE352 KSZ352:KTA352 LCV352:LCW352 LMR352:LMS352 LWN352:LWO352 MGJ352:MGK352 MQF352:MQG352 NAB352:NAC352 NJX352:NJY352 NTT352:NTU352 ODP352:ODQ352 ONL352:ONM352 OXH352:OXI352 PHD352:PHE352 PQZ352:PRA352 QAV352:QAW352 QKR352:QKS352 QUN352:QUO352 REJ352:REK352 ROF352:ROG352 RYB352:RYC352 SHX352:SHY352 SRT352:SRU352 TBP352:TBQ352 TLL352:TLM352 TVH352:TVI352 UFD352:UFE352 UOZ352:UPA352 UYV352:UYW352 VIR352:VIS352 VSN352:VSO352 WCJ352:WCK352 WMF352:WMG352 WWB352:WWC352 JQ353 TM353 ADI353 ANE353 AXA353 BGW353 BQS353 CAO353 CKK353 CUG353 DEC353 DNY353 DXU353 EHQ353 ERM353 FBI353 FLE353 FVA353 GEW353 GOS353 GYO353 HIK353 HSG353 ICC353 ILY353 IVU353 JFQ353 JPM353 JZI353 KJE353 KTA353 LCW353 LMS353 LWO353 MGK353 MQG353 NAC353 NJY353 NTU353 ODQ353 ONM353 OXI353 PHE353 PRA353 QAW353 QKS353 QUO353 REK353 ROG353 RYC353 SHY353 SRU353 TBQ353 TLM353 TVI353 UFE353 UPA353 UYW353 S352:S353 M352:M363 T352:U352 P352:Q353 U353:U354 L373:L378 VSO378 WCK378 JH377:JI378 TD377:TE378 ACZ377:ADA378 AMV377:AMW378 AWR377:AWS378 BGN377:BGO378 BQJ377:BQK378 CAF377:CAG378 CKB377:CKC378 CTX377:CTY378 DDT377:DDU378 DNP377:DNQ378 DXL377:DXM378 EHH377:EHI378 ERD377:ERE378 FAZ377:FBA378 FKV377:FKW378 FUR377:FUS378 GEN377:GEO378 GOJ377:GOK378 GYF377:GYG378 HIB377:HIC378 HRX377:HRY378 IBT377:IBU378 ILP377:ILQ378 IVL377:IVM378 JFH377:JFI378 JPD377:JPE378 JYZ377:JZA378 KIV377:KIW378 KSR377:KSS378 LCN377:LCO378 LMJ377:LMK378 LWF377:LWG378 MGB377:MGC378 MPX377:MPY378 MZT377:MZU378 NJP377:NJQ378 NTL377:NTM378 ODH377:ODI378 OND377:ONE378 OWZ377:OXA378 PGV377:PGW378 PQR377:PQS378 QAN377:QAO378 QKJ377:QKK378 QUF377:QUG378 REB377:REC378 RNX377:RNY378 RXT377:RXU378 SHP377:SHQ378 SRL377:SRM378 TBH377:TBI378 TLD377:TLE378 TUZ377:TVA378 UEV377:UEW378 UOR377:UOS378 UYN377:UYO378 VIJ377:VIK378 VSF377:VSG378 WCB377:WCC378 WLX377:WLY378 WVT377:WVU378 WMG378 JL377:JM378 TH377:TI378 ADD377:ADE378 AMZ377:ANA378 AWV377:AWW378 BGR377:BGS378 BQN377:BQO378 CAJ377:CAK378 CKF377:CKG378 CUB377:CUC378 DDX377:DDY378 DNT377:DNU378 DXP377:DXQ378 EHL377:EHM378 ERH377:ERI378 FBD377:FBE378 FKZ377:FLA378 FUV377:FUW378 GER377:GES378 GON377:GOO378 GYJ377:GYK378 HIF377:HIG378 HSB377:HSC378 IBX377:IBY378 ILT377:ILU378 IVP377:IVQ378 JFL377:JFM378 JPH377:JPI378 JZD377:JZE378 KIZ377:KJA378 KSV377:KSW378 LCR377:LCS378 LMN377:LMO378 LWJ377:LWK378 MGF377:MGG378 MQB377:MQC378 MZX377:MZY378 NJT377:NJU378 NTP377:NTQ378 ODL377:ODM378 ONH377:ONI378 OXD377:OXE378 PGZ377:PHA378 PQV377:PQW378 QAR377:QAS378 QKN377:QKO378 QUJ377:QUK378 REF377:REG378 ROB377:ROC378 RXX377:RXY378 SHT377:SHU378 SRP377:SRQ378 TBL377:TBM378 TLH377:TLI378 TVD377:TVE378 UEZ377:UFA378 UOV377:UOW378 UYR377:UYS378 VIN377:VIO378 VSJ377:VSK378 WCF377:WCG378 WMB377:WMC378 WVX377:WVY378 WWC378 JO377:JO378 TK377:TK378 ADG377:ADG378 ANC377:ANC378 AWY377:AWY378 BGU377:BGU378 BQQ377:BQQ378 CAM377:CAM378 CKI377:CKI378 CUE377:CUE378 DEA377:DEA378 DNW377:DNW378 DXS377:DXS378 EHO377:EHO378 ERK377:ERK378 FBG377:FBG378 FLC377:FLC378 FUY377:FUY378 GEU377:GEU378 GOQ377:GOQ378 GYM377:GYM378 HII377:HII378 HSE377:HSE378 ICA377:ICA378 ILW377:ILW378 IVS377:IVS378 JFO377:JFO378 JPK377:JPK378 JZG377:JZG378 KJC377:KJC378 KSY377:KSY378 LCU377:LCU378 LMQ377:LMQ378 LWM377:LWM378 MGI377:MGI378 MQE377:MQE378 NAA377:NAA378 NJW377:NJW378 NTS377:NTS378 ODO377:ODO378 ONK377:ONK378 OXG377:OXG378 PHC377:PHC378 PQY377:PQY378 QAU377:QAU378 QKQ377:QKQ378 QUM377:QUM378 REI377:REI378 ROE377:ROE378 RYA377:RYA378 SHW377:SHW378 SRS377:SRS378 TBO377:TBO378 TLK377:TLK378 TVG377:TVG378 UFC377:UFC378 UOY377:UOY378 UYU377:UYU378 VIQ377:VIQ378 VSM377:VSM378 WCI377:WCI378 WME377:WME378 WWA377:WWA378 VIS378 JP377:JQ377 TL377:TM377 ADH377:ADI377 AND377:ANE377 AWZ377:AXA377 BGV377:BGW377 BQR377:BQS377 CAN377:CAO377 CKJ377:CKK377 CUF377:CUG377 DEB377:DEC377 DNX377:DNY377 DXT377:DXU377 EHP377:EHQ377 ERL377:ERM377 FBH377:FBI377 FLD377:FLE377 FUZ377:FVA377 GEV377:GEW377 GOR377:GOS377 GYN377:GYO377 HIJ377:HIK377 HSF377:HSG377 ICB377:ICC377 ILX377:ILY377 IVT377:IVU377 JFP377:JFQ377 JPL377:JPM377 JZH377:JZI377 KJD377:KJE377 KSZ377:KTA377 LCV377:LCW377 LMR377:LMS377 LWN377:LWO377 MGJ377:MGK377 MQF377:MQG377 NAB377:NAC377 NJX377:NJY377 NTT377:NTU377 ODP377:ODQ377 ONL377:ONM377 OXH377:OXI377 PHD377:PHE377 PQZ377:PRA377 QAV377:QAW377 QKR377:QKS377 QUN377:QUO377 REJ377:REK377 ROF377:ROG377 RYB377:RYC377 SHX377:SHY377 SRT377:SRU377 TBP377:TBQ377 TLL377:TLM377 TVH377:TVI377 UFD377:UFE377 UOZ377:UPA377 UYV377:UYW377 VIR377:VIS377 VSN377:VSO377 WCJ377:WCK377 WMF377:WMG377 WWB377:WWC377 JQ378 TM378 ADI378 ANE378 AXA378 BGW378 BQS378 CAO378 CKK378 CUG378 DEC378 DNY378 DXU378 EHQ378 ERM378 FBI378 FLE378 FVA378 GEW378 GOS378 GYO378 HIK378 HSG378 ICC378 ILY378 IVU378 JFQ378 JPM378 JZI378 KJE378 KTA378 LCW378 LMS378 LWO378 MGK378 MQG378 NAC378 NJY378 NTU378 ODQ378 ONM378 OXI378 PHE378 PRA378 QAW378 QKS378 QUO378 REK378 ROG378 RYC378 SHY378 SRU378 TBQ378 TLM378 TVI378 UFE378 UPA378 UYW378 S377:S378 M377:M387 T377:U377 P377:Q378 U378:U379 L390:L398 VSO398 WCK398 JH397:JI398 TD397:TE398 ACZ397:ADA398 AMV397:AMW398 AWR397:AWS398 BGN397:BGO398 BQJ397:BQK398 CAF397:CAG398 CKB397:CKC398 CTX397:CTY398 DDT397:DDU398 DNP397:DNQ398 DXL397:DXM398 EHH397:EHI398 ERD397:ERE398 FAZ397:FBA398 FKV397:FKW398 FUR397:FUS398 GEN397:GEO398 GOJ397:GOK398 GYF397:GYG398 HIB397:HIC398 HRX397:HRY398 IBT397:IBU398 ILP397:ILQ398 IVL397:IVM398 JFH397:JFI398 JPD397:JPE398 JYZ397:JZA398 KIV397:KIW398 KSR397:KSS398 LCN397:LCO398 LMJ397:LMK398 LWF397:LWG398 MGB397:MGC398 MPX397:MPY398 MZT397:MZU398 NJP397:NJQ398 NTL397:NTM398 ODH397:ODI398 OND397:ONE398 OWZ397:OXA398 PGV397:PGW398 PQR397:PQS398 QAN397:QAO398 QKJ397:QKK398 QUF397:QUG398 REB397:REC398 RNX397:RNY398 RXT397:RXU398 SHP397:SHQ398 SRL397:SRM398 TBH397:TBI398 TLD397:TLE398 TUZ397:TVA398 UEV397:UEW398 UOR397:UOS398 UYN397:UYO398 VIJ397:VIK398 VSF397:VSG398 WCB397:WCC398 WLX397:WLY398 WVT397:WVU398 WMG398 JL397:JM398 TH397:TI398 ADD397:ADE398 AMZ397:ANA398 AWV397:AWW398 BGR397:BGS398 BQN397:BQO398 CAJ397:CAK398 CKF397:CKG398 CUB397:CUC398 DDX397:DDY398 DNT397:DNU398 DXP397:DXQ398 EHL397:EHM398 ERH397:ERI398 FBD397:FBE398 FKZ397:FLA398 FUV397:FUW398 GER397:GES398 GON397:GOO398 GYJ397:GYK398 HIF397:HIG398 HSB397:HSC398 IBX397:IBY398 ILT397:ILU398 IVP397:IVQ398 JFL397:JFM398 JPH397:JPI398 JZD397:JZE398 KIZ397:KJA398 KSV397:KSW398 LCR397:LCS398 LMN397:LMO398 LWJ397:LWK398 MGF397:MGG398 MQB397:MQC398 MZX397:MZY398 NJT397:NJU398 NTP397:NTQ398 ODL397:ODM398 ONH397:ONI398 OXD397:OXE398 PGZ397:PHA398 PQV397:PQW398 QAR397:QAS398 QKN397:QKO398 QUJ397:QUK398 REF397:REG398 ROB397:ROC398 RXX397:RXY398 SHT397:SHU398 SRP397:SRQ398 TBL397:TBM398 TLH397:TLI398 TVD397:TVE398 UEZ397:UFA398 UOV397:UOW398 UYR397:UYS398 VIN397:VIO398 VSJ397:VSK398 WCF397:WCG398 WMB397:WMC398 WVX397:WVY398 WWC398 JO397:JO398 TK397:TK398 ADG397:ADG398 ANC397:ANC398 AWY397:AWY398 BGU397:BGU398 BQQ397:BQQ398 CAM397:CAM398 CKI397:CKI398 CUE397:CUE398 DEA397:DEA398 DNW397:DNW398 DXS397:DXS398 EHO397:EHO398 ERK397:ERK398 FBG397:FBG398 FLC397:FLC398 FUY397:FUY398 GEU397:GEU398 GOQ397:GOQ398 GYM397:GYM398 HII397:HII398 HSE397:HSE398 ICA397:ICA398 ILW397:ILW398 IVS397:IVS398 JFO397:JFO398 JPK397:JPK398 JZG397:JZG398 KJC397:KJC398 KSY397:KSY398 LCU397:LCU398 LMQ397:LMQ398 LWM397:LWM398 MGI397:MGI398 MQE397:MQE398 NAA397:NAA398 NJW397:NJW398 NTS397:NTS398 ODO397:ODO398 ONK397:ONK398 OXG397:OXG398 PHC397:PHC398 PQY397:PQY398 QAU397:QAU398 QKQ397:QKQ398 QUM397:QUM398 REI397:REI398 ROE397:ROE398 RYA397:RYA398 SHW397:SHW398 SRS397:SRS398 TBO397:TBO398 TLK397:TLK398 TVG397:TVG398 UFC397:UFC398 UOY397:UOY398 UYU397:UYU398 VIQ397:VIQ398 VSM397:VSM398 WCI397:WCI398 WME397:WME398 WWA397:WWA398 VIS398 JP397:JQ397 TL397:TM397 ADH397:ADI397 AND397:ANE397 AWZ397:AXA397 BGV397:BGW397 BQR397:BQS397 CAN397:CAO397 CKJ397:CKK397 CUF397:CUG397 DEB397:DEC397 DNX397:DNY397 DXT397:DXU397 EHP397:EHQ397 ERL397:ERM397 FBH397:FBI397 FLD397:FLE397 FUZ397:FVA397 GEV397:GEW397 GOR397:GOS397 GYN397:GYO397 HIJ397:HIK397 HSF397:HSG397 ICB397:ICC397 ILX397:ILY397 IVT397:IVU397 JFP397:JFQ397 JPL397:JPM397 JZH397:JZI397 KJD397:KJE397 KSZ397:KTA397 LCV397:LCW397 LMR397:LMS397 LWN397:LWO397 MGJ397:MGK397 MQF397:MQG397 NAB397:NAC397 NJX397:NJY397 NTT397:NTU397 ODP397:ODQ397 ONL397:ONM397 OXH397:OXI397 PHD397:PHE397 PQZ397:PRA397 QAV397:QAW397 QKR397:QKS397 QUN397:QUO397 REJ397:REK397 ROF397:ROG397 RYB397:RYC397 SHX397:SHY397 SRT397:SRU397 TBP397:TBQ397 TLL397:TLM397 TVH397:TVI397 UFD397:UFE397 UOZ397:UPA397 UYV397:UYW397 VIR397:VIS397 VSN397:VSO397 WCJ397:WCK397 WMF397:WMG397 WWB397:WWC397 JQ398 TM398 ADI398 ANE398 AXA398 BGW398 BQS398 CAO398 CKK398 CUG398 DEC398 DNY398 DXU398 EHQ398 ERM398 FBI398 FLE398 FVA398 GEW398 GOS398 GYO398 HIK398 HSG398 ICC398 ILY398 IVU398 JFQ398 JPM398 JZI398 KJE398 KTA398 LCW398 LMS398 LWO398 MGK398 MQG398 NAC398 NJY398 NTU398 ODQ398 ONM398 OXI398 PHE398 PRA398 QAW398 QKS398 QUO398 REK398 ROG398 RYC398 SHY398 SRU398 TBQ398 TLM398 TVI398 UFE398 UPA398 UYW398 S397:S398 M397:M408 T397:U397 P397:Q398 U398:U399 L411:L419 VSO419 WCK419 JH418:JI419 TD418:TE419 ACZ418:ADA419 AMV418:AMW419 AWR418:AWS419 BGN418:BGO419 BQJ418:BQK419 CAF418:CAG419 CKB418:CKC419 CTX418:CTY419 DDT418:DDU419 DNP418:DNQ419 DXL418:DXM419 EHH418:EHI419 ERD418:ERE419 FAZ418:FBA419 FKV418:FKW419 FUR418:FUS419 GEN418:GEO419 GOJ418:GOK419 GYF418:GYG419 HIB418:HIC419 HRX418:HRY419 IBT418:IBU419 ILP418:ILQ419 IVL418:IVM419 JFH418:JFI419 JPD418:JPE419 JYZ418:JZA419 KIV418:KIW419 KSR418:KSS419 LCN418:LCO419 LMJ418:LMK419 LWF418:LWG419 MGB418:MGC419 MPX418:MPY419 MZT418:MZU419 NJP418:NJQ419 NTL418:NTM419 ODH418:ODI419 OND418:ONE419 OWZ418:OXA419 PGV418:PGW419 PQR418:PQS419 QAN418:QAO419 QKJ418:QKK419 QUF418:QUG419 REB418:REC419 RNX418:RNY419 RXT418:RXU419 SHP418:SHQ419 SRL418:SRM419 TBH418:TBI419 TLD418:TLE419 TUZ418:TVA419 UEV418:UEW419 UOR418:UOS419 UYN418:UYO419 VIJ418:VIK419 VSF418:VSG419 WCB418:WCC419 WLX418:WLY419 WVT418:WVU419 WMG419 JL418:JM419 TH418:TI419 ADD418:ADE419 AMZ418:ANA419 AWV418:AWW419 BGR418:BGS419 BQN418:BQO419 CAJ418:CAK419 CKF418:CKG419 CUB418:CUC419 DDX418:DDY419 DNT418:DNU419 DXP418:DXQ419 EHL418:EHM419 ERH418:ERI419 FBD418:FBE419 FKZ418:FLA419 FUV418:FUW419 GER418:GES419 GON418:GOO419 GYJ418:GYK419 HIF418:HIG419 HSB418:HSC419 IBX418:IBY419 ILT418:ILU419 IVP418:IVQ419 JFL418:JFM419 JPH418:JPI419 JZD418:JZE419 KIZ418:KJA419 KSV418:KSW419 LCR418:LCS419 LMN418:LMO419 LWJ418:LWK419 MGF418:MGG419 MQB418:MQC419 MZX418:MZY419 NJT418:NJU419 NTP418:NTQ419 ODL418:ODM419 ONH418:ONI419 OXD418:OXE419 PGZ418:PHA419 PQV418:PQW419 QAR418:QAS419 QKN418:QKO419 QUJ418:QUK419 REF418:REG419 ROB418:ROC419 RXX418:RXY419 SHT418:SHU419 SRP418:SRQ419 TBL418:TBM419 TLH418:TLI419 TVD418:TVE419 UEZ418:UFA419 UOV418:UOW419 UYR418:UYS419 VIN418:VIO419 VSJ418:VSK419 WCF418:WCG419 WMB418:WMC419 WVX418:WVY419 WWC419 JO418:JO419 TK418:TK419 ADG418:ADG419 ANC418:ANC419 AWY418:AWY419 BGU418:BGU419 BQQ418:BQQ419 CAM418:CAM419 CKI418:CKI419 CUE418:CUE419 DEA418:DEA419 DNW418:DNW419 DXS418:DXS419 EHO418:EHO419 ERK418:ERK419 FBG418:FBG419 FLC418:FLC419 FUY418:FUY419 GEU418:GEU419 GOQ418:GOQ419 GYM418:GYM419 HII418:HII419 HSE418:HSE419 ICA418:ICA419 ILW418:ILW419 IVS418:IVS419 JFO418:JFO419 JPK418:JPK419 JZG418:JZG419 KJC418:KJC419 KSY418:KSY419 LCU418:LCU419 LMQ418:LMQ419 LWM418:LWM419 MGI418:MGI419 MQE418:MQE419 NAA418:NAA419 NJW418:NJW419 NTS418:NTS419 ODO418:ODO419 ONK418:ONK419 OXG418:OXG419 PHC418:PHC419 PQY418:PQY419 QAU418:QAU419 QKQ418:QKQ419 QUM418:QUM419 REI418:REI419 ROE418:ROE419 RYA418:RYA419 SHW418:SHW419 SRS418:SRS419 TBO418:TBO419 TLK418:TLK419 TVG418:TVG419 UFC418:UFC419 UOY418:UOY419 UYU418:UYU419 VIQ418:VIQ419 VSM418:VSM419 WCI418:WCI419 WME418:WME419 WWA418:WWA419 VIS419 JP418:JQ418 TL418:TM418 ADH418:ADI418 AND418:ANE418 AWZ418:AXA418 BGV418:BGW418 BQR418:BQS418 CAN418:CAO418 CKJ418:CKK418 CUF418:CUG418 DEB418:DEC418 DNX418:DNY418 DXT418:DXU418 EHP418:EHQ418 ERL418:ERM418 FBH418:FBI418 FLD418:FLE418 FUZ418:FVA418 GEV418:GEW418 GOR418:GOS418 GYN418:GYO418 HIJ418:HIK418 HSF418:HSG418 ICB418:ICC418 ILX418:ILY418 IVT418:IVU418 JFP418:JFQ418 JPL418:JPM418 JZH418:JZI418 KJD418:KJE418 KSZ418:KTA418 LCV418:LCW418 LMR418:LMS418 LWN418:LWO418 MGJ418:MGK418 MQF418:MQG418 NAB418:NAC418 NJX418:NJY418 NTT418:NTU418 ODP418:ODQ418 ONL418:ONM418 OXH418:OXI418 PHD418:PHE418 PQZ418:PRA418 QAV418:QAW418 QKR418:QKS418 QUN418:QUO418 REJ418:REK418 ROF418:ROG418 RYB418:RYC418 SHX418:SHY418 SRT418:SRU418 TBP418:TBQ418 TLL418:TLM418 TVH418:TVI418 UFD418:UFE418 UOZ418:UPA418 UYV418:UYW418 VIR418:VIS418 VSN418:VSO418 WCJ418:WCK418 WMF418:WMG418 WWB418:WWC418 JQ419 TM419 ADI419 ANE419 AXA419 BGW419 BQS419 CAO419 CKK419 CUG419 DEC419 DNY419 DXU419 EHQ419 ERM419 FBI419 FLE419 FVA419 GEW419 GOS419 GYO419 HIK419 HSG419 ICC419 ILY419 IVU419 JFQ419 JPM419 JZI419 KJE419 KTA419 LCW419 LMS419 LWO419 MGK419 MQG419 NAC419 NJY419 NTU419 ODQ419 ONM419 OXI419 PHE419 PRA419 QAW419 QKS419 QUO419 REK419 ROG419 RYC419 SHY419 SRU419 TBQ419 TLM419 TVI419 UFE419 UPA419 UYW419 S418:S419 M418:M429 T418:U418 P418:Q419 U419:U420 L439:L444 VSO444 WCK444 JH443:JI444 TD443:TE444 ACZ443:ADA444 AMV443:AMW444 AWR443:AWS444 BGN443:BGO444 BQJ443:BQK444 CAF443:CAG444 CKB443:CKC444 CTX443:CTY444 DDT443:DDU444 DNP443:DNQ444 DXL443:DXM444 EHH443:EHI444 ERD443:ERE444 FAZ443:FBA444 FKV443:FKW444 FUR443:FUS444 GEN443:GEO444 GOJ443:GOK444 GYF443:GYG444 HIB443:HIC444 HRX443:HRY444 IBT443:IBU444 ILP443:ILQ444 IVL443:IVM444 JFH443:JFI444 JPD443:JPE444 JYZ443:JZA444 KIV443:KIW444 KSR443:KSS444 LCN443:LCO444 LMJ443:LMK444 LWF443:LWG444 MGB443:MGC444 MPX443:MPY444 MZT443:MZU444 NJP443:NJQ444 NTL443:NTM444 ODH443:ODI444 OND443:ONE444 OWZ443:OXA444 PGV443:PGW444 PQR443:PQS444 QAN443:QAO444 QKJ443:QKK444 QUF443:QUG444 REB443:REC444 RNX443:RNY444 RXT443:RXU444 SHP443:SHQ444 SRL443:SRM444 TBH443:TBI444 TLD443:TLE444 TUZ443:TVA444 UEV443:UEW444 UOR443:UOS444 UYN443:UYO444 VIJ443:VIK444 VSF443:VSG444 WCB443:WCC444 WLX443:WLY444 WVT443:WVU444 WMG444 JL443:JM444 TH443:TI444 ADD443:ADE444 AMZ443:ANA444 AWV443:AWW444 BGR443:BGS444 BQN443:BQO444 CAJ443:CAK444 CKF443:CKG444 CUB443:CUC444 DDX443:DDY444 DNT443:DNU444 DXP443:DXQ444 EHL443:EHM444 ERH443:ERI444 FBD443:FBE444 FKZ443:FLA444 FUV443:FUW444 GER443:GES444 GON443:GOO444 GYJ443:GYK444 HIF443:HIG444 HSB443:HSC444 IBX443:IBY444 ILT443:ILU444 IVP443:IVQ444 JFL443:JFM444 JPH443:JPI444 JZD443:JZE444 KIZ443:KJA444 KSV443:KSW444 LCR443:LCS444 LMN443:LMO444 LWJ443:LWK444 MGF443:MGG444 MQB443:MQC444 MZX443:MZY444 NJT443:NJU444 NTP443:NTQ444 ODL443:ODM444 ONH443:ONI444 OXD443:OXE444 PGZ443:PHA444 PQV443:PQW444 QAR443:QAS444 QKN443:QKO444 QUJ443:QUK444 REF443:REG444 ROB443:ROC444 RXX443:RXY444 SHT443:SHU444 SRP443:SRQ444 TBL443:TBM444 TLH443:TLI444 TVD443:TVE444 UEZ443:UFA444 UOV443:UOW444 UYR443:UYS444 VIN443:VIO444 VSJ443:VSK444 WCF443:WCG444 WMB443:WMC444 WVX443:WVY444 WWC444 JO443:JO444 TK443:TK444 ADG443:ADG444 ANC443:ANC444 AWY443:AWY444 BGU443:BGU444 BQQ443:BQQ444 CAM443:CAM444 CKI443:CKI444 CUE443:CUE444 DEA443:DEA444 DNW443:DNW444 DXS443:DXS444 EHO443:EHO444 ERK443:ERK444 FBG443:FBG444 FLC443:FLC444 FUY443:FUY444 GEU443:GEU444 GOQ443:GOQ444 GYM443:GYM444 HII443:HII444 HSE443:HSE444 ICA443:ICA444 ILW443:ILW444 IVS443:IVS444 JFO443:JFO444 JPK443:JPK444 JZG443:JZG444 KJC443:KJC444 KSY443:KSY444 LCU443:LCU444 LMQ443:LMQ444 LWM443:LWM444 MGI443:MGI444 MQE443:MQE444 NAA443:NAA444 NJW443:NJW444 NTS443:NTS444 ODO443:ODO444 ONK443:ONK444 OXG443:OXG444 PHC443:PHC444 PQY443:PQY444 QAU443:QAU444 QKQ443:QKQ444 QUM443:QUM444 REI443:REI444 ROE443:ROE444 RYA443:RYA444 SHW443:SHW444 SRS443:SRS444 TBO443:TBO444 TLK443:TLK444 TVG443:TVG444 UFC443:UFC444 UOY443:UOY444 UYU443:UYU444 VIQ443:VIQ444 VSM443:VSM444 WCI443:WCI444 WME443:WME444 WWA443:WWA444 VIS444 JP443:JQ443 TL443:TM443 ADH443:ADI443 AND443:ANE443 AWZ443:AXA443 BGV443:BGW443 BQR443:BQS443 CAN443:CAO443 CKJ443:CKK443 CUF443:CUG443 DEB443:DEC443 DNX443:DNY443 DXT443:DXU443 EHP443:EHQ443 ERL443:ERM443 FBH443:FBI443 FLD443:FLE443 FUZ443:FVA443 GEV443:GEW443 GOR443:GOS443 GYN443:GYO443 HIJ443:HIK443 HSF443:HSG443 ICB443:ICC443 ILX443:ILY443 IVT443:IVU443 JFP443:JFQ443 JPL443:JPM443 JZH443:JZI443 KJD443:KJE443 KSZ443:KTA443 LCV443:LCW443 LMR443:LMS443 LWN443:LWO443 MGJ443:MGK443 MQF443:MQG443 NAB443:NAC443 NJX443:NJY443 NTT443:NTU443 ODP443:ODQ443 ONL443:ONM443 OXH443:OXI443 PHD443:PHE443 PQZ443:PRA443 QAV443:QAW443 QKR443:QKS443 QUN443:QUO443 REJ443:REK443 ROF443:ROG443 RYB443:RYC443 SHX443:SHY443 SRT443:SRU443 TBP443:TBQ443 TLL443:TLM443 TVH443:TVI443 UFD443:UFE443 UOZ443:UPA443 UYV443:UYW443 VIR443:VIS443 VSN443:VSO443 WCJ443:WCK443 WMF443:WMG443 WWB443:WWC443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S443:S444 M443:M454 T443:U443 P443:Q444 U444:U445 L464:L469 VSO469 WCK469 JH468:JI469 TD468:TE469 ACZ468:ADA469 AMV468:AMW469 AWR468:AWS469 BGN468:BGO469 BQJ468:BQK469 CAF468:CAG469 CKB468:CKC469 CTX468:CTY469 DDT468:DDU469 DNP468:DNQ469 DXL468:DXM469 EHH468:EHI469 ERD468:ERE469 FAZ468:FBA469 FKV468:FKW469 FUR468:FUS469 GEN468:GEO469 GOJ468:GOK469 GYF468:GYG469 HIB468:HIC469 HRX468:HRY469 IBT468:IBU469 ILP468:ILQ469 IVL468:IVM469 JFH468:JFI469 JPD468:JPE469 JYZ468:JZA469 KIV468:KIW469 KSR468:KSS469 LCN468:LCO469 LMJ468:LMK469 LWF468:LWG469 MGB468:MGC469 MPX468:MPY469 MZT468:MZU469 NJP468:NJQ469 NTL468:NTM469 ODH468:ODI469 OND468:ONE469 OWZ468:OXA469 PGV468:PGW469 PQR468:PQS469 QAN468:QAO469 QKJ468:QKK469 QUF468:QUG469 REB468:REC469 RNX468:RNY469 RXT468:RXU469 SHP468:SHQ469 SRL468:SRM469 TBH468:TBI469 TLD468:TLE469 TUZ468:TVA469 UEV468:UEW469 UOR468:UOS469 UYN468:UYO469 VIJ468:VIK469 VSF468:VSG469 WCB468:WCC469 WLX468:WLY469 WVT468:WVU469 WMG469 JL468:JM469 TH468:TI469 ADD468:ADE469 AMZ468:ANA469 AWV468:AWW469 BGR468:BGS469 BQN468:BQO469 CAJ468:CAK469 CKF468:CKG469 CUB468:CUC469 DDX468:DDY469 DNT468:DNU469 DXP468:DXQ469 EHL468:EHM469 ERH468:ERI469 FBD468:FBE469 FKZ468:FLA469 FUV468:FUW469 GER468:GES469 GON468:GOO469 GYJ468:GYK469 HIF468:HIG469 HSB468:HSC469 IBX468:IBY469 ILT468:ILU469 IVP468:IVQ469 JFL468:JFM469 JPH468:JPI469 JZD468:JZE469 KIZ468:KJA469 KSV468:KSW469 LCR468:LCS469 LMN468:LMO469 LWJ468:LWK469 MGF468:MGG469 MQB468:MQC469 MZX468:MZY469 NJT468:NJU469 NTP468:NTQ469 ODL468:ODM469 ONH468:ONI469 OXD468:OXE469 PGZ468:PHA469 PQV468:PQW469 QAR468:QAS469 QKN468:QKO469 QUJ468:QUK469 REF468:REG469 ROB468:ROC469 RXX468:RXY469 SHT468:SHU469 SRP468:SRQ469 TBL468:TBM469 TLH468:TLI469 TVD468:TVE469 UEZ468:UFA469 UOV468:UOW469 UYR468:UYS469 VIN468:VIO469 VSJ468:VSK469 WCF468:WCG469 WMB468:WMC469 WVX468:WVY469 WWC469 JO468:JO469 TK468:TK469 ADG468:ADG469 ANC468:ANC469 AWY468:AWY469 BGU468:BGU469 BQQ468:BQQ469 CAM468:CAM469 CKI468:CKI469 CUE468:CUE469 DEA468:DEA469 DNW468:DNW469 DXS468:DXS469 EHO468:EHO469 ERK468:ERK469 FBG468:FBG469 FLC468:FLC469 FUY468:FUY469 GEU468:GEU469 GOQ468:GOQ469 GYM468:GYM469 HII468:HII469 HSE468:HSE469 ICA468:ICA469 ILW468:ILW469 IVS468:IVS469 JFO468:JFO469 JPK468:JPK469 JZG468:JZG469 KJC468:KJC469 KSY468:KSY469 LCU468:LCU469 LMQ468:LMQ469 LWM468:LWM469 MGI468:MGI469 MQE468:MQE469 NAA468:NAA469 NJW468:NJW469 NTS468:NTS469 ODO468:ODO469 ONK468:ONK469 OXG468:OXG469 PHC468:PHC469 PQY468:PQY469 QAU468:QAU469 QKQ468:QKQ469 QUM468:QUM469 REI468:REI469 ROE468:ROE469 RYA468:RYA469 SHW468:SHW469 SRS468:SRS469 TBO468:TBO469 TLK468:TLK469 TVG468:TVG469 UFC468:UFC469 UOY468:UOY469 UYU468:UYU469 VIQ468:VIQ469 VSM468:VSM469 WCI468:WCI469 WME468:WME469 WWA468:WWA469 VIS469 JP468:JQ468 TL468:TM468 ADH468:ADI468 AND468:ANE468 AWZ468:AXA468 BGV468:BGW468 BQR468:BQS468 CAN468:CAO468 CKJ468:CKK468 CUF468:CUG468 DEB468:DEC468 DNX468:DNY468 DXT468:DXU468 EHP468:EHQ468 ERL468:ERM468 FBH468:FBI468 FLD468:FLE468 FUZ468:FVA468 GEV468:GEW468 GOR468:GOS468 GYN468:GYO468 HIJ468:HIK468 HSF468:HSG468 ICB468:ICC468 ILX468:ILY468 IVT468:IVU468 JFP468:JFQ468 JPL468:JPM468 JZH468:JZI468 KJD468:KJE468 KSZ468:KTA468 LCV468:LCW468 LMR468:LMS468 LWN468:LWO468 MGJ468:MGK468 MQF468:MQG468 NAB468:NAC468 NJX468:NJY468 NTT468:NTU468 ODP468:ODQ468 ONL468:ONM468 OXH468:OXI468 PHD468:PHE468 PQZ468:PRA468 QAV468:QAW468 QKR468:QKS468 QUN468:QUO468 REJ468:REK468 ROF468:ROG468 RYB468:RYC468 SHX468:SHY468 SRT468:SRU468 TBP468:TBQ468 TLL468:TLM468 TVH468:TVI468 UFD468:UFE468 UOZ468:UPA468 UYV468:UYW468 VIR468:VIS468 VSN468:VSO468 WCJ468:WCK468 WMF468:WMG468 WWB468:WWC468 JQ469 TM469 ADI469 ANE469 AXA469 BGW469 BQS469 CAO469 CKK469 CUG469 DEC469 DNY469 DXU469 EHQ469 ERM469 FBI469 FLE469 FVA469 GEW469 GOS469 GYO469 HIK469 HSG469 ICC469 ILY469 IVU469 JFQ469 JPM469 JZI469 KJE469 KTA469 LCW469 LMS469 LWO469 MGK469 MQG469 NAC469 NJY469 NTU469 ODQ469 ONM469 OXI469 PHE469 PRA469 QAW469 QKS469 QUO469 REK469 ROG469 RYC469 SHY469 SRU469 TBQ469 TLM469 TVI469 UFE469 UPA469 UYW469 S468:S469 M468:M479 T468:U468 P468:Q469 U469:U470 L482:L490 VSO490 WCK490 JH489:JI490 TD489:TE490 ACZ489:ADA490 AMV489:AMW490 AWR489:AWS490 BGN489:BGO490 BQJ489:BQK490 CAF489:CAG490 CKB489:CKC490 CTX489:CTY490 DDT489:DDU490 DNP489:DNQ490 DXL489:DXM490 EHH489:EHI490 ERD489:ERE490 FAZ489:FBA490 FKV489:FKW490 FUR489:FUS490 GEN489:GEO490 GOJ489:GOK490 GYF489:GYG490 HIB489:HIC490 HRX489:HRY490 IBT489:IBU490 ILP489:ILQ490 IVL489:IVM490 JFH489:JFI490 JPD489:JPE490 JYZ489:JZA490 KIV489:KIW490 KSR489:KSS490 LCN489:LCO490 LMJ489:LMK490 LWF489:LWG490 MGB489:MGC490 MPX489:MPY490 MZT489:MZU490 NJP489:NJQ490 NTL489:NTM490 ODH489:ODI490 OND489:ONE490 OWZ489:OXA490 PGV489:PGW490 PQR489:PQS490 QAN489:QAO490 QKJ489:QKK490 QUF489:QUG490 REB489:REC490 RNX489:RNY490 RXT489:RXU490 SHP489:SHQ490 SRL489:SRM490 TBH489:TBI490 TLD489:TLE490 TUZ489:TVA490 UEV489:UEW490 UOR489:UOS490 UYN489:UYO490 VIJ489:VIK490 VSF489:VSG490 WCB489:WCC490 WLX489:WLY490 WVT489:WVU490 WMG490 JL489:JM490 TH489:TI490 ADD489:ADE490 AMZ489:ANA490 AWV489:AWW490 BGR489:BGS490 BQN489:BQO490 CAJ489:CAK490 CKF489:CKG490 CUB489:CUC490 DDX489:DDY490 DNT489:DNU490 DXP489:DXQ490 EHL489:EHM490 ERH489:ERI490 FBD489:FBE490 FKZ489:FLA490 FUV489:FUW490 GER489:GES490 GON489:GOO490 GYJ489:GYK490 HIF489:HIG490 HSB489:HSC490 IBX489:IBY490 ILT489:ILU490 IVP489:IVQ490 JFL489:JFM490 JPH489:JPI490 JZD489:JZE490 KIZ489:KJA490 KSV489:KSW490 LCR489:LCS490 LMN489:LMO490 LWJ489:LWK490 MGF489:MGG490 MQB489:MQC490 MZX489:MZY490 NJT489:NJU490 NTP489:NTQ490 ODL489:ODM490 ONH489:ONI490 OXD489:OXE490 PGZ489:PHA490 PQV489:PQW490 QAR489:QAS490 QKN489:QKO490 QUJ489:QUK490 REF489:REG490 ROB489:ROC490 RXX489:RXY490 SHT489:SHU490 SRP489:SRQ490 TBL489:TBM490 TLH489:TLI490 TVD489:TVE490 UEZ489:UFA490 UOV489:UOW490 UYR489:UYS490 VIN489:VIO490 VSJ489:VSK490 WCF489:WCG490 WMB489:WMC490 WVX489:WVY490 WWC490 JO489:JO490 TK489:TK490 ADG489:ADG490 ANC489:ANC490 AWY489:AWY490 BGU489:BGU490 BQQ489:BQQ490 CAM489:CAM490 CKI489:CKI490 CUE489:CUE490 DEA489:DEA490 DNW489:DNW490 DXS489:DXS490 EHO489:EHO490 ERK489:ERK490 FBG489:FBG490 FLC489:FLC490 FUY489:FUY490 GEU489:GEU490 GOQ489:GOQ490 GYM489:GYM490 HII489:HII490 HSE489:HSE490 ICA489:ICA490 ILW489:ILW490 IVS489:IVS490 JFO489:JFO490 JPK489:JPK490 JZG489:JZG490 KJC489:KJC490 KSY489:KSY490 LCU489:LCU490 LMQ489:LMQ490 LWM489:LWM490 MGI489:MGI490 MQE489:MQE490 NAA489:NAA490 NJW489:NJW490 NTS489:NTS490 ODO489:ODO490 ONK489:ONK490 OXG489:OXG490 PHC489:PHC490 PQY489:PQY490 QAU489:QAU490 QKQ489:QKQ490 QUM489:QUM490 REI489:REI490 ROE489:ROE490 RYA489:RYA490 SHW489:SHW490 SRS489:SRS490 TBO489:TBO490 TLK489:TLK490 TVG489:TVG490 UFC489:UFC490 UOY489:UOY490 UYU489:UYU490 VIQ489:VIQ490 VSM489:VSM490 WCI489:WCI490 WME489:WME490 WWA489:WWA490 VIS490 JP489:JQ489 TL489:TM489 ADH489:ADI489 AND489:ANE489 AWZ489:AXA489 BGV489:BGW489 BQR489:BQS489 CAN489:CAO489 CKJ489:CKK489 CUF489:CUG489 DEB489:DEC489 DNX489:DNY489 DXT489:DXU489 EHP489:EHQ489 ERL489:ERM489 FBH489:FBI489 FLD489:FLE489 FUZ489:FVA489 GEV489:GEW489 GOR489:GOS489 GYN489:GYO489 HIJ489:HIK489 HSF489:HSG489 ICB489:ICC489 ILX489:ILY489 IVT489:IVU489 JFP489:JFQ489 JPL489:JPM489 JZH489:JZI489 KJD489:KJE489 KSZ489:KTA489 LCV489:LCW489 LMR489:LMS489 LWN489:LWO489 MGJ489:MGK489 MQF489:MQG489 NAB489:NAC489 NJX489:NJY489 NTT489:NTU489 ODP489:ODQ489 ONL489:ONM489 OXH489:OXI489 PHD489:PHE489 PQZ489:PRA489 QAV489:QAW489 QKR489:QKS489 QUN489:QUO489 REJ489:REK489 ROF489:ROG489 RYB489:RYC489 SHX489:SHY489 SRT489:SRU489 TBP489:TBQ489 TLL489:TLM489 TVH489:TVI489 UFD489:UFE489 UOZ489:UPA489 UYV489:UYW489 VIR489:VIS489 VSN489:VSO489 WCJ489:WCK489 WMF489:WMG489 WWB489:WWC489 JQ490 TM490 ADI490 ANE490 AXA490 BGW490 BQS490 CAO490 CKK490 CUG490 DEC490 DNY490 DXU490 EHQ490 ERM490 FBI490 FLE490 FVA490 GEW490 GOS490 GYO490 HIK490 HSG490 ICC490 ILY490 IVU490 JFQ490 JPM490 JZI490 KJE490 KTA490 LCW490 LMS490 LWO490 MGK490 MQG490 NAC490 NJY490 NTU490 ODQ490 ONM490 OXI490 PHE490 PRA490 QAW490 QKS490 QUO490 REK490 ROG490 RYC490 SHY490 SRU490 TBQ490 TLM490 TVI490 UFE490 UPA490 UYW490 S489:S490 M489:M494 T489:U489 P489:Q490 R503 L495:L505 O502:O503 VSO505 WCK505 JH504:JI505 TD504:TE505 ACZ504:ADA505 AMV504:AMW505 AWR504:AWS505 BGN504:BGO505 BQJ504:BQK505 CAF504:CAG505 CKB504:CKC505 CTX504:CTY505 DDT504:DDU505 DNP504:DNQ505 DXL504:DXM505 EHH504:EHI505 ERD504:ERE505 FAZ504:FBA505 FKV504:FKW505 FUR504:FUS505 GEN504:GEO505 GOJ504:GOK505 GYF504:GYG505 HIB504:HIC505 HRX504:HRY505 IBT504:IBU505 ILP504:ILQ505 IVL504:IVM505 JFH504:JFI505 JPD504:JPE505 JYZ504:JZA505 KIV504:KIW505 KSR504:KSS505 LCN504:LCO505 LMJ504:LMK505 LWF504:LWG505 MGB504:MGC505 MPX504:MPY505 MZT504:MZU505 NJP504:NJQ505 NTL504:NTM505 ODH504:ODI505 OND504:ONE505 OWZ504:OXA505 PGV504:PGW505 PQR504:PQS505 QAN504:QAO505 QKJ504:QKK505 QUF504:QUG505 REB504:REC505 RNX504:RNY505 RXT504:RXU505 SHP504:SHQ505 SRL504:SRM505 TBH504:TBI505 TLD504:TLE505 TUZ504:TVA505 UEV504:UEW505 UOR504:UOS505 UYN504:UYO505 VIJ504:VIK505 VSF504:VSG505 WCB504:WCC505 WLX504:WLY505 WVT504:WVU505 WMG505 JL504:JM505 TH504:TI505 ADD504:ADE505 AMZ504:ANA505 AWV504:AWW505 BGR504:BGS505 BQN504:BQO505 CAJ504:CAK505 CKF504:CKG505 CUB504:CUC505 DDX504:DDY505 DNT504:DNU505 DXP504:DXQ505 EHL504:EHM505 ERH504:ERI505 FBD504:FBE505 FKZ504:FLA505 FUV504:FUW505 GER504:GES505 GON504:GOO505 GYJ504:GYK505 HIF504:HIG505 HSB504:HSC505 IBX504:IBY505 ILT504:ILU505 IVP504:IVQ505 JFL504:JFM505 JPH504:JPI505 JZD504:JZE505 KIZ504:KJA505 KSV504:KSW505 LCR504:LCS505 LMN504:LMO505 LWJ504:LWK505 MGF504:MGG505 MQB504:MQC505 MZX504:MZY505 NJT504:NJU505 NTP504:NTQ505 ODL504:ODM505 ONH504:ONI505 OXD504:OXE505 PGZ504:PHA505 PQV504:PQW505 QAR504:QAS505 QKN504:QKO505 QUJ504:QUK505 REF504:REG505 ROB504:ROC505 RXX504:RXY505 SHT504:SHU505 SRP504:SRQ505 TBL504:TBM505 TLH504:TLI505 TVD504:TVE505 UEZ504:UFA505 UOV504:UOW505 UYR504:UYS505 VIN504:VIO505 VSJ504:VSK505 WCF504:WCG505 WMB504:WMC505 WVX504:WVY505 WWC505 JO504:JO505 TK504:TK505 ADG504:ADG505 ANC504:ANC505 AWY504:AWY505 BGU504:BGU505 BQQ504:BQQ505 CAM504:CAM505 CKI504:CKI505 CUE504:CUE505 DEA504:DEA505 DNW504:DNW505 DXS504:DXS505 EHO504:EHO505 ERK504:ERK505 FBG504:FBG505 FLC504:FLC505 FUY504:FUY505 GEU504:GEU505 GOQ504:GOQ505 GYM504:GYM505 HII504:HII505 HSE504:HSE505 ICA504:ICA505 ILW504:ILW505 IVS504:IVS505 JFO504:JFO505 JPK504:JPK505 JZG504:JZG505 KJC504:KJC505 KSY504:KSY505 LCU504:LCU505 LMQ504:LMQ505 LWM504:LWM505 MGI504:MGI505 MQE504:MQE505 NAA504:NAA505 NJW504:NJW505 NTS504:NTS505 ODO504:ODO505 ONK504:ONK505 OXG504:OXG505 PHC504:PHC505 PQY504:PQY505 QAU504:QAU505 QKQ504:QKQ505 QUM504:QUM505 REI504:REI505 ROE504:ROE505 RYA504:RYA505 SHW504:SHW505 SRS504:SRS505 TBO504:TBO505 TLK504:TLK505 TVG504:TVG505 UFC504:UFC505 UOY504:UOY505 UYU504:UYU505 VIQ504:VIQ505 VSM504:VSM505 WCI504:WCI505 WME504:WME505 WWA504:WWA505 VIS505 JP504:JQ504 TL504:TM504 ADH504:ADI504 AND504:ANE504 AWZ504:AXA504 BGV504:BGW504 BQR504:BQS504 CAN504:CAO504 CKJ504:CKK504 CUF504:CUG504 DEB504:DEC504 DNX504:DNY504 DXT504:DXU504 EHP504:EHQ504 ERL504:ERM504 FBH504:FBI504 FLD504:FLE504 FUZ504:FVA504 GEV504:GEW504 GOR504:GOS504 GYN504:GYO504 HIJ504:HIK504 HSF504:HSG504 ICB504:ICC504 ILX504:ILY504 IVT504:IVU504 JFP504:JFQ504 JPL504:JPM504 JZH504:JZI504 KJD504:KJE504 KSZ504:KTA504 LCV504:LCW504 LMR504:LMS504 LWN504:LWO504 MGJ504:MGK504 MQF504:MQG504 NAB504:NAC504 NJX504:NJY504 NTT504:NTU504 ODP504:ODQ504 ONL504:ONM504 OXH504:OXI504 PHD504:PHE504 PQZ504:PRA504 QAV504:QAW504 QKR504:QKS504 QUN504:QUO504 REJ504:REK504 ROF504:ROG504 RYB504:RYC504 SHX504:SHY504 SRT504:SRU504 TBP504:TBQ504 TLL504:TLM504 TVH504:TVI504 UFD504:UFE504 UOZ504:UPA504 UYV504:UYW504 VIR504:VIS504 VSN504:VSO504 WCJ504:WCK504 WMF504:WMG504 WWB504:WWC504 JQ505 TM505 ADI505 ANE505 AXA505 BGW505 BQS505 CAO505 CKK505 CUG505 DEC505 DNY505 DXU505 EHQ505 ERM505 FBI505 FLE505 FVA505 GEW505 GOS505 GYO505 HIK505 HSG505 ICC505 ILY505 IVU505 JFQ505 JPM505 JZI505 KJE505 KTA505 LCW505 LMS505 LWO505 MGK505 MQG505 NAC505 NJY505 NTU505 ODQ505 ONM505 OXI505 PHE505 PRA505 QAW505 QKS505 QUO505 REK505 ROG505 RYC505 SHY505 SRU505 TBQ505 TLM505 TVI505 UFE505 UPA505 UYW505 S504:S505 M504:M506 T504:U504 P504:Q505 I8:I512 L515 I515:I520 L520">
      <formula1>"□,■"</formula1>
    </dataValidation>
  </dataValidations>
  <pageMargins left="0.70866141732283472" right="0.70866141732283472" top="0.74803149606299213" bottom="0.74803149606299213" header="0.31496062992125984" footer="0.31496062992125984"/>
  <pageSetup paperSize="9" scale="10"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20" id="{4D009433-A5DA-461B-850F-6E74A36C8400}">
            <xm:f>CELL("protect",'別紙１－１'!A34)=0</xm:f>
            <x14:dxf>
              <fill>
                <patternFill>
                  <bgColor theme="9" tint="0.79998168889431442"/>
                </patternFill>
              </fill>
            </x14:dxf>
          </x14:cfRule>
          <xm:sqref>A34:G34 A44:G44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6" t="s">
        <v>709</v>
      </c>
      <c r="C1"/>
      <c r="D1"/>
      <c r="E1"/>
      <c r="F1"/>
      <c r="G1"/>
      <c r="H1"/>
      <c r="I1"/>
      <c r="J1"/>
      <c r="K1"/>
    </row>
    <row r="3" spans="1:14" ht="21" customHeight="1" x14ac:dyDescent="0.2">
      <c r="A3" s="97"/>
      <c r="B3" s="814" t="s">
        <v>710</v>
      </c>
      <c r="C3" s="814"/>
      <c r="D3" s="814"/>
      <c r="E3" s="814"/>
      <c r="F3" s="814"/>
      <c r="G3" s="814"/>
      <c r="H3" s="814"/>
      <c r="I3" s="814"/>
      <c r="J3" s="814"/>
      <c r="K3" s="814"/>
      <c r="L3" s="814"/>
      <c r="M3" s="814"/>
      <c r="N3" s="814"/>
    </row>
    <row r="4" spans="1:14" ht="20.25" customHeight="1" x14ac:dyDescent="0.2">
      <c r="A4" s="97"/>
      <c r="B4" s="2" t="s">
        <v>641</v>
      </c>
      <c r="C4" s="3"/>
      <c r="D4" s="3"/>
      <c r="E4" s="3"/>
      <c r="F4" s="3"/>
      <c r="G4" s="3"/>
      <c r="H4" s="3"/>
      <c r="I4" s="3"/>
      <c r="J4" s="3"/>
      <c r="K4" s="3"/>
    </row>
    <row r="5" spans="1:14" ht="20.25" customHeight="1" x14ac:dyDescent="0.2">
      <c r="A5" s="97"/>
      <c r="B5" s="2" t="s">
        <v>642</v>
      </c>
      <c r="C5" s="3"/>
      <c r="D5" s="3"/>
      <c r="E5" s="3"/>
      <c r="F5" s="3"/>
      <c r="G5" s="3"/>
      <c r="H5" s="3"/>
      <c r="I5" s="3"/>
      <c r="J5" s="3"/>
      <c r="K5" s="3"/>
    </row>
    <row r="6" spans="1:14" ht="20.25" customHeight="1" x14ac:dyDescent="0.2">
      <c r="A6" s="97"/>
      <c r="B6" s="2" t="s">
        <v>643</v>
      </c>
      <c r="C6" s="3"/>
      <c r="D6" s="3"/>
      <c r="E6" s="3"/>
      <c r="F6" s="3"/>
      <c r="G6" s="3"/>
      <c r="H6" s="3"/>
      <c r="I6" s="3"/>
      <c r="J6" s="3"/>
      <c r="K6" s="3"/>
    </row>
    <row r="7" spans="1:14" ht="20.25" customHeight="1" x14ac:dyDescent="0.2">
      <c r="A7" s="97"/>
      <c r="B7" s="2" t="s">
        <v>644</v>
      </c>
      <c r="C7" s="3"/>
      <c r="D7" s="3"/>
      <c r="E7" s="3"/>
      <c r="F7" s="3"/>
      <c r="G7" s="3"/>
      <c r="H7" s="3"/>
      <c r="I7" s="3"/>
      <c r="J7" s="3"/>
      <c r="K7" s="3"/>
    </row>
    <row r="8" spans="1:14" ht="20.25" customHeight="1" x14ac:dyDescent="0.2">
      <c r="A8" s="97"/>
      <c r="B8" s="2" t="s">
        <v>645</v>
      </c>
      <c r="C8" s="3"/>
      <c r="D8" s="3"/>
      <c r="E8" s="3"/>
      <c r="F8" s="3"/>
      <c r="G8" s="3"/>
      <c r="H8" s="3"/>
      <c r="I8" s="3"/>
      <c r="J8" s="3"/>
      <c r="K8" s="3"/>
    </row>
    <row r="9" spans="1:14" ht="20.25" customHeight="1" x14ac:dyDescent="0.2">
      <c r="A9" s="97"/>
      <c r="B9" s="2" t="s">
        <v>711</v>
      </c>
      <c r="C9" s="3"/>
      <c r="D9" s="3"/>
      <c r="E9" s="3"/>
      <c r="F9" s="3"/>
      <c r="G9" s="3"/>
      <c r="H9" s="3"/>
      <c r="I9" s="3"/>
      <c r="J9" s="3"/>
      <c r="K9" s="3"/>
    </row>
    <row r="10" spans="1:14" ht="20.25" customHeight="1" x14ac:dyDescent="0.2">
      <c r="A10"/>
      <c r="B10" s="2" t="s">
        <v>712</v>
      </c>
      <c r="C10"/>
      <c r="D10"/>
      <c r="E10"/>
      <c r="F10"/>
      <c r="G10"/>
      <c r="H10"/>
      <c r="I10"/>
      <c r="J10"/>
      <c r="K10"/>
    </row>
    <row r="11" spans="1:14" ht="59.25" customHeight="1" x14ac:dyDescent="0.2">
      <c r="A11"/>
      <c r="B11" s="813" t="s">
        <v>713</v>
      </c>
      <c r="C11" s="814"/>
      <c r="D11" s="814"/>
      <c r="E11" s="814"/>
      <c r="F11" s="814"/>
      <c r="G11" s="814"/>
      <c r="H11" s="814"/>
      <c r="I11" s="814"/>
      <c r="J11"/>
      <c r="K11"/>
    </row>
    <row r="12" spans="1:14" ht="20.25" customHeight="1" x14ac:dyDescent="0.2">
      <c r="A12"/>
      <c r="B12" s="2" t="s">
        <v>714</v>
      </c>
      <c r="C12"/>
      <c r="D12"/>
      <c r="E12"/>
      <c r="F12"/>
      <c r="G12"/>
      <c r="H12"/>
      <c r="I12"/>
      <c r="J12"/>
      <c r="K12"/>
    </row>
    <row r="13" spans="1:14" ht="20.25" customHeight="1" x14ac:dyDescent="0.2">
      <c r="A13"/>
      <c r="B13" s="2" t="s">
        <v>715</v>
      </c>
      <c r="C13"/>
      <c r="D13"/>
      <c r="E13"/>
      <c r="F13"/>
      <c r="G13"/>
      <c r="H13"/>
      <c r="I13"/>
      <c r="J13"/>
      <c r="K13"/>
    </row>
    <row r="14" spans="1:14" ht="20.25" customHeight="1" x14ac:dyDescent="0.2">
      <c r="A14"/>
      <c r="B14" s="2" t="s">
        <v>716</v>
      </c>
      <c r="C14"/>
      <c r="D14"/>
      <c r="E14"/>
      <c r="F14"/>
      <c r="G14"/>
      <c r="H14"/>
      <c r="I14"/>
      <c r="J14"/>
      <c r="K14"/>
    </row>
    <row r="15" spans="1:14" ht="20.25" customHeight="1" x14ac:dyDescent="0.2">
      <c r="A15"/>
      <c r="B15" s="2" t="s">
        <v>655</v>
      </c>
      <c r="C15"/>
      <c r="D15"/>
      <c r="E15"/>
      <c r="F15"/>
      <c r="G15"/>
      <c r="H15"/>
      <c r="I15"/>
      <c r="J15"/>
      <c r="K15"/>
    </row>
    <row r="16" spans="1:14" ht="20.25" customHeight="1" x14ac:dyDescent="0.2">
      <c r="A16"/>
      <c r="B16" s="2" t="s">
        <v>717</v>
      </c>
      <c r="C16"/>
      <c r="D16"/>
      <c r="E16"/>
      <c r="F16"/>
      <c r="G16"/>
      <c r="H16"/>
      <c r="I16"/>
      <c r="J16"/>
      <c r="K16"/>
    </row>
    <row r="17" spans="1:11" ht="20.25" customHeight="1" x14ac:dyDescent="0.2">
      <c r="A17"/>
      <c r="B17" s="2" t="s">
        <v>718</v>
      </c>
      <c r="C17"/>
      <c r="D17"/>
      <c r="E17"/>
      <c r="F17"/>
      <c r="G17"/>
      <c r="H17"/>
      <c r="I17"/>
      <c r="J17"/>
      <c r="K17"/>
    </row>
    <row r="18" spans="1:11" ht="20.25" customHeight="1" x14ac:dyDescent="0.2">
      <c r="A18"/>
      <c r="B18" s="2" t="s">
        <v>719</v>
      </c>
      <c r="C18"/>
      <c r="D18"/>
      <c r="E18"/>
      <c r="F18"/>
      <c r="G18"/>
      <c r="H18"/>
      <c r="I18"/>
      <c r="J18"/>
      <c r="K18"/>
    </row>
    <row r="19" spans="1:11" ht="20.25" customHeight="1" x14ac:dyDescent="0.2">
      <c r="A19"/>
      <c r="B19" s="2" t="s">
        <v>720</v>
      </c>
      <c r="C19"/>
      <c r="D19"/>
      <c r="E19"/>
      <c r="F19"/>
      <c r="G19"/>
      <c r="H19"/>
      <c r="I19"/>
      <c r="J19"/>
      <c r="K19"/>
    </row>
    <row r="20" spans="1:11" s="86" customFormat="1" ht="20.25" customHeight="1" x14ac:dyDescent="0.2">
      <c r="A20" s="85"/>
      <c r="B20" s="2" t="s">
        <v>721</v>
      </c>
    </row>
    <row r="21" spans="1:11" ht="20.25" customHeight="1" x14ac:dyDescent="0.2">
      <c r="A21" s="1"/>
      <c r="B21" s="2" t="s">
        <v>722</v>
      </c>
    </row>
    <row r="22" spans="1:11" ht="20.25" customHeight="1" x14ac:dyDescent="0.2">
      <c r="A22" s="1"/>
      <c r="B22" s="2" t="s">
        <v>723</v>
      </c>
    </row>
    <row r="23" spans="1:11" ht="20.25" customHeight="1" x14ac:dyDescent="0.2">
      <c r="A23" s="1"/>
      <c r="B23" s="2" t="s">
        <v>724</v>
      </c>
    </row>
    <row r="24" spans="1:11" ht="20.25" customHeight="1" x14ac:dyDescent="0.2">
      <c r="A24" s="1"/>
      <c r="B24" s="2" t="s">
        <v>676</v>
      </c>
    </row>
    <row r="25" spans="1:11" s="92" customFormat="1" ht="20.25" customHeight="1" x14ac:dyDescent="0.2">
      <c r="B25" s="2" t="s">
        <v>677</v>
      </c>
    </row>
    <row r="26" spans="1:11" s="92" customFormat="1" ht="20.25" customHeight="1" x14ac:dyDescent="0.2">
      <c r="B26" s="2" t="s">
        <v>678</v>
      </c>
    </row>
    <row r="27" spans="1:11" s="92" customFormat="1" ht="20.25" customHeight="1" x14ac:dyDescent="0.2">
      <c r="B27" s="2"/>
    </row>
    <row r="28" spans="1:11" s="92" customFormat="1" ht="20.25" customHeight="1" x14ac:dyDescent="0.2">
      <c r="B28" s="2" t="s">
        <v>679</v>
      </c>
    </row>
    <row r="29" spans="1:11" s="92" customFormat="1" ht="20.25" customHeight="1" x14ac:dyDescent="0.2">
      <c r="B29" s="2" t="s">
        <v>680</v>
      </c>
    </row>
    <row r="30" spans="1:11" s="92" customFormat="1" ht="20.25" customHeight="1" x14ac:dyDescent="0.2">
      <c r="B30" s="2" t="s">
        <v>681</v>
      </c>
    </row>
    <row r="31" spans="1:11" s="92" customFormat="1" ht="20.25" customHeight="1" x14ac:dyDescent="0.2">
      <c r="B31" s="2" t="s">
        <v>682</v>
      </c>
    </row>
    <row r="32" spans="1:11" s="92" customFormat="1" ht="20.25" customHeight="1" x14ac:dyDescent="0.2">
      <c r="B32" s="2" t="s">
        <v>683</v>
      </c>
    </row>
    <row r="33" spans="1:19" s="92" customFormat="1" ht="20.25" customHeight="1" x14ac:dyDescent="0.2">
      <c r="B33" s="2" t="s">
        <v>684</v>
      </c>
    </row>
    <row r="34" spans="1:19" s="92" customFormat="1" ht="20.25" customHeight="1" x14ac:dyDescent="0.2"/>
    <row r="35" spans="1:19" s="92" customFormat="1" ht="20.25" customHeight="1" x14ac:dyDescent="0.2">
      <c r="B35" s="2" t="s">
        <v>725</v>
      </c>
    </row>
    <row r="36" spans="1:19" s="92" customFormat="1" ht="20.25" customHeight="1" x14ac:dyDescent="0.2">
      <c r="B36" s="2" t="s">
        <v>726</v>
      </c>
    </row>
    <row r="37" spans="1:19" s="92" customFormat="1" ht="20.25" customHeight="1" x14ac:dyDescent="0.2">
      <c r="B37" s="2" t="s">
        <v>727</v>
      </c>
      <c r="C37" s="94"/>
      <c r="D37" s="94"/>
      <c r="E37" s="94"/>
      <c r="F37" s="94"/>
      <c r="G37" s="94"/>
    </row>
    <row r="38" spans="1:19" s="92" customFormat="1" ht="20.25" customHeight="1" x14ac:dyDescent="0.2">
      <c r="B38" s="2" t="s">
        <v>728</v>
      </c>
      <c r="C38" s="94"/>
      <c r="D38" s="94"/>
      <c r="E38" s="94"/>
    </row>
    <row r="39" spans="1:19" s="92" customFormat="1" ht="20.25" customHeight="1" x14ac:dyDescent="0.2">
      <c r="B39" s="813" t="s">
        <v>729</v>
      </c>
      <c r="C39" s="813"/>
      <c r="D39" s="813"/>
      <c r="E39" s="813"/>
      <c r="F39" s="813"/>
      <c r="G39" s="813"/>
      <c r="H39" s="813"/>
      <c r="I39" s="813"/>
      <c r="J39" s="813"/>
      <c r="K39" s="813"/>
      <c r="L39" s="813"/>
      <c r="M39" s="813"/>
      <c r="N39" s="813"/>
      <c r="O39" s="813"/>
      <c r="P39" s="813"/>
      <c r="Q39" s="813"/>
      <c r="S39" s="95"/>
    </row>
    <row r="40" spans="1:19" s="92" customFormat="1" ht="20.25" customHeight="1" x14ac:dyDescent="0.2">
      <c r="B40" s="2" t="s">
        <v>730</v>
      </c>
    </row>
    <row r="41" spans="1:19" s="92" customFormat="1" ht="20.25" customHeight="1" x14ac:dyDescent="0.2">
      <c r="B41" s="2" t="s">
        <v>731</v>
      </c>
    </row>
    <row r="42" spans="1:19" s="92" customFormat="1" ht="20.25" customHeight="1" x14ac:dyDescent="0.2">
      <c r="B42" s="2" t="s">
        <v>732</v>
      </c>
    </row>
    <row r="43" spans="1:19" ht="20.25" customHeight="1" x14ac:dyDescent="0.2">
      <c r="A43"/>
      <c r="B43" s="2" t="s">
        <v>733</v>
      </c>
      <c r="C43"/>
      <c r="D43"/>
      <c r="E43"/>
      <c r="F43"/>
      <c r="G43"/>
      <c r="H43"/>
      <c r="I43"/>
      <c r="J43"/>
      <c r="K43"/>
    </row>
    <row r="44" spans="1:19" ht="20.25" customHeight="1" x14ac:dyDescent="0.2">
      <c r="B44" s="2" t="s">
        <v>734</v>
      </c>
    </row>
    <row r="45" spans="1:19" s="86" customFormat="1" ht="20.25" customHeight="1" x14ac:dyDescent="0.2">
      <c r="A45" s="85"/>
      <c r="B45" s="1"/>
    </row>
    <row r="46" spans="1:19" ht="20.25" customHeight="1" x14ac:dyDescent="0.2">
      <c r="B46" s="96" t="s">
        <v>735</v>
      </c>
    </row>
    <row r="47" spans="1:19" ht="20.25" customHeight="1" x14ac:dyDescent="0.2">
      <c r="A47" s="97"/>
      <c r="C47" s="3"/>
      <c r="D47" s="3"/>
      <c r="E47" s="3"/>
      <c r="F47" s="3"/>
      <c r="G47" s="3"/>
      <c r="H47" s="3"/>
      <c r="I47" s="3"/>
      <c r="J47" s="3"/>
      <c r="K47" s="3"/>
    </row>
    <row r="48" spans="1:19" ht="20.25" customHeight="1" x14ac:dyDescent="0.2">
      <c r="B48" s="2" t="s">
        <v>708</v>
      </c>
    </row>
    <row r="49" spans="1:11" ht="20.25" customHeight="1" x14ac:dyDescent="0.2">
      <c r="A49" s="97"/>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93" customFormat="1" ht="19.5" customHeight="1" x14ac:dyDescent="0.2">
      <c r="A59" s="99"/>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486"/>
  <sheetViews>
    <sheetView view="pageBreakPreview" topLeftCell="A455" zoomScale="70" zoomScaleNormal="75" zoomScaleSheetLayoutView="70" workbookViewId="0">
      <selection activeCell="X482" sqref="X482"/>
    </sheetView>
  </sheetViews>
  <sheetFormatPr defaultColWidth="9" defaultRowHeight="13.2"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45" customWidth="1"/>
    <col min="8" max="8" width="33.88671875" style="108" customWidth="1"/>
    <col min="9" max="23" width="4.88671875" style="108" customWidth="1"/>
    <col min="24" max="24" width="16.6640625" style="108" customWidth="1"/>
    <col min="25" max="32" width="4.88671875" style="108" customWidth="1"/>
    <col min="33" max="33" width="12" style="108" hidden="1" customWidth="1"/>
    <col min="34" max="45" width="0" style="108" hidden="1" customWidth="1"/>
    <col min="46" max="16384" width="9" style="108"/>
  </cols>
  <sheetData>
    <row r="2" spans="1:38" ht="20.25" customHeight="1" x14ac:dyDescent="0.2">
      <c r="A2" s="288" t="s">
        <v>784</v>
      </c>
      <c r="B2" s="288"/>
    </row>
    <row r="3" spans="1:38" ht="20.25" customHeight="1" x14ac:dyDescent="0.2">
      <c r="A3" s="681" t="s">
        <v>515</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row>
    <row r="4" spans="1:38" ht="20.25" customHeight="1" x14ac:dyDescent="0.2"/>
    <row r="5" spans="1:38" s="343" customFormat="1" ht="30" customHeight="1" x14ac:dyDescent="0.2">
      <c r="A5" s="685" t="s">
        <v>787</v>
      </c>
      <c r="B5" s="686"/>
      <c r="C5" s="686"/>
      <c r="D5" s="686"/>
      <c r="E5" s="687"/>
      <c r="F5" s="685" t="s">
        <v>788</v>
      </c>
      <c r="G5" s="686"/>
      <c r="H5" s="686"/>
      <c r="I5" s="686"/>
      <c r="J5" s="687"/>
      <c r="K5" s="688" t="s">
        <v>789</v>
      </c>
      <c r="L5" s="689"/>
      <c r="M5" s="689"/>
      <c r="N5" s="689"/>
      <c r="O5" s="689"/>
      <c r="P5" s="689"/>
      <c r="Q5" s="689"/>
      <c r="R5" s="690"/>
      <c r="S5" s="682" t="s">
        <v>84</v>
      </c>
      <c r="T5" s="683"/>
      <c r="U5" s="683"/>
      <c r="V5" s="684"/>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6" spans="1:38" ht="20.25" customHeight="1" x14ac:dyDescent="0.2">
      <c r="AG6" s="109"/>
    </row>
    <row r="7" spans="1:38" ht="18" customHeight="1" x14ac:dyDescent="0.2">
      <c r="A7" s="682" t="s">
        <v>85</v>
      </c>
      <c r="B7" s="683"/>
      <c r="C7" s="684"/>
      <c r="D7" s="682" t="s">
        <v>1</v>
      </c>
      <c r="E7" s="684"/>
      <c r="F7" s="841" t="s">
        <v>86</v>
      </c>
      <c r="G7" s="842"/>
      <c r="H7" s="682" t="s">
        <v>473</v>
      </c>
      <c r="I7" s="683"/>
      <c r="J7" s="683"/>
      <c r="K7" s="683"/>
      <c r="L7" s="683"/>
      <c r="M7" s="683"/>
      <c r="N7" s="683"/>
      <c r="O7" s="683"/>
      <c r="P7" s="683"/>
      <c r="Q7" s="683"/>
      <c r="R7" s="683"/>
      <c r="S7" s="683"/>
      <c r="T7" s="683"/>
      <c r="U7" s="683"/>
      <c r="V7" s="683"/>
      <c r="W7" s="683"/>
      <c r="X7" s="684"/>
      <c r="Y7" s="682" t="s">
        <v>227</v>
      </c>
      <c r="Z7" s="683"/>
      <c r="AA7" s="683"/>
      <c r="AB7" s="684"/>
      <c r="AC7" s="682" t="s">
        <v>87</v>
      </c>
      <c r="AD7" s="683"/>
      <c r="AE7" s="683"/>
      <c r="AF7" s="684"/>
      <c r="AG7" s="109"/>
    </row>
    <row r="8" spans="1:38" ht="18.75" customHeight="1" x14ac:dyDescent="0.2">
      <c r="A8" s="699" t="s">
        <v>88</v>
      </c>
      <c r="B8" s="700"/>
      <c r="C8" s="701"/>
      <c r="D8" s="115"/>
      <c r="E8" s="225"/>
      <c r="F8" s="131"/>
      <c r="G8" s="280"/>
      <c r="H8" s="705" t="s">
        <v>89</v>
      </c>
      <c r="I8" s="118" t="s">
        <v>383</v>
      </c>
      <c r="J8" s="119" t="s">
        <v>238</v>
      </c>
      <c r="K8" s="120"/>
      <c r="L8" s="120"/>
      <c r="M8" s="118" t="s">
        <v>383</v>
      </c>
      <c r="N8" s="119" t="s">
        <v>239</v>
      </c>
      <c r="O8" s="120"/>
      <c r="P8" s="120"/>
      <c r="Q8" s="118" t="s">
        <v>383</v>
      </c>
      <c r="R8" s="119" t="s">
        <v>240</v>
      </c>
      <c r="S8" s="120"/>
      <c r="T8" s="120"/>
      <c r="U8" s="118" t="s">
        <v>781</v>
      </c>
      <c r="V8" s="119" t="s">
        <v>241</v>
      </c>
      <c r="W8" s="120"/>
      <c r="X8" s="121"/>
      <c r="Y8" s="675"/>
      <c r="Z8" s="676"/>
      <c r="AA8" s="676"/>
      <c r="AB8" s="677"/>
      <c r="AC8" s="675"/>
      <c r="AD8" s="676"/>
      <c r="AE8" s="676"/>
      <c r="AF8" s="677"/>
      <c r="AG8" s="109" t="str">
        <f>"tiikikbn_code:"&amp; IF(I8="■",1,IF(M8="■",6,IF(Q8="■",7,IF(U8="■",2,IF(I9="■",3,IF(M9="■",4,IF(Q9="■",9,IF(U9="■",5,0))))))))</f>
        <v>tiikikbn_code:2</v>
      </c>
    </row>
    <row r="9" spans="1:38" ht="18.75" customHeight="1" x14ac:dyDescent="0.2">
      <c r="A9" s="783"/>
      <c r="B9" s="784"/>
      <c r="C9" s="785"/>
      <c r="D9" s="276"/>
      <c r="E9" s="228"/>
      <c r="F9" s="186"/>
      <c r="G9" s="213"/>
      <c r="H9" s="786"/>
      <c r="I9" s="277" t="s">
        <v>383</v>
      </c>
      <c r="J9" s="231" t="s">
        <v>242</v>
      </c>
      <c r="K9" s="278"/>
      <c r="L9" s="278"/>
      <c r="M9" s="211" t="s">
        <v>383</v>
      </c>
      <c r="N9" s="231" t="s">
        <v>243</v>
      </c>
      <c r="O9" s="278"/>
      <c r="P9" s="278"/>
      <c r="Q9" s="211" t="s">
        <v>383</v>
      </c>
      <c r="R9" s="231" t="s">
        <v>244</v>
      </c>
      <c r="S9" s="278"/>
      <c r="T9" s="278"/>
      <c r="U9" s="211" t="s">
        <v>383</v>
      </c>
      <c r="V9" s="231" t="s">
        <v>245</v>
      </c>
      <c r="W9" s="278"/>
      <c r="X9" s="187"/>
      <c r="Y9" s="722"/>
      <c r="Z9" s="723"/>
      <c r="AA9" s="723"/>
      <c r="AB9" s="724"/>
      <c r="AC9" s="722"/>
      <c r="AD9" s="723"/>
      <c r="AE9" s="723"/>
      <c r="AF9" s="724"/>
      <c r="AG9" s="109"/>
    </row>
    <row r="10" spans="1:38" ht="19.5" customHeight="1" x14ac:dyDescent="0.2">
      <c r="A10" s="139"/>
      <c r="B10" s="123"/>
      <c r="C10" s="140"/>
      <c r="D10" s="141"/>
      <c r="E10" s="128"/>
      <c r="F10" s="142"/>
      <c r="G10" s="143"/>
      <c r="H10" s="262" t="s">
        <v>430</v>
      </c>
      <c r="I10" s="156" t="s">
        <v>383</v>
      </c>
      <c r="J10" s="157" t="s">
        <v>395</v>
      </c>
      <c r="K10" s="158"/>
      <c r="L10" s="159"/>
      <c r="M10" s="160" t="s">
        <v>383</v>
      </c>
      <c r="N10" s="157" t="s">
        <v>431</v>
      </c>
      <c r="O10" s="162"/>
      <c r="P10" s="157"/>
      <c r="Q10" s="162"/>
      <c r="R10" s="162"/>
      <c r="S10" s="162"/>
      <c r="T10" s="162"/>
      <c r="U10" s="162"/>
      <c r="V10" s="162"/>
      <c r="W10" s="162"/>
      <c r="X10" s="163"/>
      <c r="Y10" s="118" t="s">
        <v>383</v>
      </c>
      <c r="Z10" s="119" t="s">
        <v>249</v>
      </c>
      <c r="AA10" s="119"/>
      <c r="AB10" s="137"/>
      <c r="AC10" s="118" t="s">
        <v>383</v>
      </c>
      <c r="AD10" s="119" t="s">
        <v>249</v>
      </c>
      <c r="AE10" s="119"/>
      <c r="AF10" s="137"/>
      <c r="AG10" s="109" t="str">
        <f>"ser_code = '" &amp; IF(A17="■",76,"") &amp; "'"</f>
        <v>ser_code = ''</v>
      </c>
      <c r="AH10" s="109"/>
      <c r="AI10" s="109" t="str">
        <f>"76:field223:" &amp; IF(I10="■",1,IF(M10="■",2,0))</f>
        <v>76:field223:0</v>
      </c>
      <c r="AJ10" s="109" t="str">
        <f>"76:field203:" &amp; IF(Y10="■",1,IF(Y11="■",2,0))</f>
        <v>76:field203:0</v>
      </c>
      <c r="AK10" s="109" t="str">
        <f>"76:waribiki_code:" &amp; IF(AC10="■",1,IF(AC11="■",2,0))</f>
        <v>76:waribiki_code:0</v>
      </c>
    </row>
    <row r="11" spans="1:38" s="109" customFormat="1" ht="19.5" customHeight="1" x14ac:dyDescent="0.2">
      <c r="A11" s="139"/>
      <c r="B11" s="123"/>
      <c r="C11" s="140"/>
      <c r="D11" s="141"/>
      <c r="E11" s="128"/>
      <c r="F11" s="142"/>
      <c r="G11" s="143"/>
      <c r="H11" s="348" t="s">
        <v>448</v>
      </c>
      <c r="I11" s="349" t="s">
        <v>383</v>
      </c>
      <c r="J11" s="350" t="s">
        <v>395</v>
      </c>
      <c r="K11" s="351"/>
      <c r="L11" s="352"/>
      <c r="M11" s="353" t="s">
        <v>383</v>
      </c>
      <c r="N11" s="350" t="s">
        <v>431</v>
      </c>
      <c r="O11" s="354"/>
      <c r="P11" s="350"/>
      <c r="Q11" s="355"/>
      <c r="R11" s="355"/>
      <c r="S11" s="355"/>
      <c r="T11" s="355"/>
      <c r="U11" s="355"/>
      <c r="V11" s="355"/>
      <c r="W11" s="355"/>
      <c r="X11" s="356"/>
      <c r="Y11" s="118" t="s">
        <v>383</v>
      </c>
      <c r="Z11" s="126" t="s">
        <v>255</v>
      </c>
      <c r="AA11" s="147"/>
      <c r="AB11" s="148"/>
      <c r="AC11" s="118" t="s">
        <v>383</v>
      </c>
      <c r="AD11" s="126" t="s">
        <v>255</v>
      </c>
      <c r="AE11" s="147"/>
      <c r="AF11" s="102"/>
      <c r="AG11" s="109" t="str">
        <f>"76:sisetukbn_code:" &amp; IF(D17="■",1,IF(D18="■",2,0))</f>
        <v>76:sisetukbn_code:0</v>
      </c>
      <c r="AI11" s="109" t="str">
        <f>"76:field232:" &amp; IF(I11="■",1,IF(M11="■",2,0))</f>
        <v>76:field232:0</v>
      </c>
    </row>
    <row r="12" spans="1:38" ht="18.75" customHeight="1" x14ac:dyDescent="0.2">
      <c r="A12" s="139"/>
      <c r="B12" s="123"/>
      <c r="C12" s="237"/>
      <c r="D12" s="142"/>
      <c r="E12" s="128"/>
      <c r="F12" s="142"/>
      <c r="G12" s="270"/>
      <c r="H12" s="546" t="s">
        <v>137</v>
      </c>
      <c r="I12" s="521" t="s">
        <v>781</v>
      </c>
      <c r="J12" s="381" t="s">
        <v>250</v>
      </c>
      <c r="K12" s="419"/>
      <c r="L12" s="521" t="s">
        <v>383</v>
      </c>
      <c r="M12" s="381" t="s">
        <v>267</v>
      </c>
      <c r="N12" s="381"/>
      <c r="O12" s="381"/>
      <c r="P12" s="381"/>
      <c r="Q12" s="381"/>
      <c r="R12" s="381"/>
      <c r="S12" s="381"/>
      <c r="T12" s="381"/>
      <c r="U12" s="381"/>
      <c r="V12" s="381"/>
      <c r="W12" s="381"/>
      <c r="X12" s="442"/>
      <c r="Z12" s="126"/>
      <c r="AA12" s="147"/>
      <c r="AB12" s="148"/>
      <c r="AD12" s="126"/>
      <c r="AE12" s="147"/>
      <c r="AF12" s="148"/>
      <c r="AG12" s="109"/>
      <c r="AH12" s="109"/>
      <c r="AI12" s="109" t="str">
        <f>"76:tokutiiki_code:" &amp; IF(I12="■",1,IF(L12="■",2,0))</f>
        <v>76:tokutiiki_code:1</v>
      </c>
      <c r="AJ12" s="109"/>
      <c r="AK12" s="109"/>
    </row>
    <row r="13" spans="1:38" ht="18.75" customHeight="1" x14ac:dyDescent="0.2">
      <c r="A13" s="139"/>
      <c r="B13" s="123"/>
      <c r="C13" s="237"/>
      <c r="D13" s="142"/>
      <c r="E13" s="128"/>
      <c r="F13" s="142"/>
      <c r="G13" s="270"/>
      <c r="H13" s="743" t="s">
        <v>478</v>
      </c>
      <c r="I13" s="797" t="s">
        <v>781</v>
      </c>
      <c r="J13" s="796" t="s">
        <v>256</v>
      </c>
      <c r="K13" s="796"/>
      <c r="L13" s="796"/>
      <c r="M13" s="797" t="s">
        <v>383</v>
      </c>
      <c r="N13" s="796" t="s">
        <v>257</v>
      </c>
      <c r="O13" s="796"/>
      <c r="P13" s="796"/>
      <c r="Q13" s="438"/>
      <c r="R13" s="438"/>
      <c r="S13" s="438"/>
      <c r="T13" s="438"/>
      <c r="U13" s="438"/>
      <c r="V13" s="438"/>
      <c r="W13" s="438"/>
      <c r="X13" s="507"/>
      <c r="AB13" s="148"/>
      <c r="AF13" s="148"/>
      <c r="AI13" s="109" t="str">
        <f>"76:chuusankanti_tiiki_code:" &amp; IF(I13="■",1,IF(M13="■",2,0))</f>
        <v>76:chuusankanti_tiiki_code:1</v>
      </c>
    </row>
    <row r="14" spans="1:38" ht="18.75" customHeight="1" x14ac:dyDescent="0.2">
      <c r="A14" s="139"/>
      <c r="B14" s="123"/>
      <c r="C14" s="237"/>
      <c r="D14" s="142"/>
      <c r="E14" s="128"/>
      <c r="F14" s="142"/>
      <c r="G14" s="270"/>
      <c r="H14" s="744"/>
      <c r="I14" s="793"/>
      <c r="J14" s="795"/>
      <c r="K14" s="795"/>
      <c r="L14" s="795"/>
      <c r="M14" s="793"/>
      <c r="N14" s="795"/>
      <c r="O14" s="795"/>
      <c r="P14" s="795"/>
      <c r="Q14" s="436"/>
      <c r="R14" s="436"/>
      <c r="S14" s="436"/>
      <c r="T14" s="436"/>
      <c r="U14" s="436"/>
      <c r="V14" s="436"/>
      <c r="W14" s="436"/>
      <c r="X14" s="437"/>
      <c r="Y14" s="154"/>
      <c r="Z14" s="147"/>
      <c r="AA14" s="147"/>
      <c r="AB14" s="148"/>
      <c r="AC14" s="154"/>
      <c r="AD14" s="147"/>
      <c r="AE14" s="147"/>
      <c r="AF14" s="148"/>
      <c r="AI14" s="109"/>
    </row>
    <row r="15" spans="1:38" ht="18.75" customHeight="1" x14ac:dyDescent="0.2">
      <c r="A15" s="139"/>
      <c r="B15" s="123"/>
      <c r="C15" s="237"/>
      <c r="D15" s="142"/>
      <c r="E15" s="128"/>
      <c r="F15" s="142"/>
      <c r="G15" s="270"/>
      <c r="H15" s="743" t="s">
        <v>481</v>
      </c>
      <c r="I15" s="797" t="s">
        <v>781</v>
      </c>
      <c r="J15" s="796" t="s">
        <v>256</v>
      </c>
      <c r="K15" s="796"/>
      <c r="L15" s="796"/>
      <c r="M15" s="797" t="s">
        <v>383</v>
      </c>
      <c r="N15" s="796" t="s">
        <v>257</v>
      </c>
      <c r="O15" s="796"/>
      <c r="P15" s="796"/>
      <c r="Q15" s="438"/>
      <c r="R15" s="438"/>
      <c r="S15" s="438"/>
      <c r="T15" s="438"/>
      <c r="U15" s="438"/>
      <c r="V15" s="438"/>
      <c r="W15" s="438"/>
      <c r="X15" s="507"/>
      <c r="Y15" s="154"/>
      <c r="Z15" s="147"/>
      <c r="AA15" s="147"/>
      <c r="AB15" s="148"/>
      <c r="AC15" s="154"/>
      <c r="AD15" s="147"/>
      <c r="AE15" s="147"/>
      <c r="AF15" s="148"/>
      <c r="AI15" s="109" t="str">
        <f>"76:chuusankanti_kibo_code:" &amp; IF(I15="■",1,IF(M15="■",2,0))</f>
        <v>76:chuusankanti_kibo_code:1</v>
      </c>
    </row>
    <row r="16" spans="1:38" ht="18.75" customHeight="1" x14ac:dyDescent="0.2">
      <c r="A16" s="139"/>
      <c r="B16" s="123"/>
      <c r="C16" s="237"/>
      <c r="D16" s="142"/>
      <c r="E16" s="128"/>
      <c r="F16" s="142"/>
      <c r="G16" s="270"/>
      <c r="H16" s="744"/>
      <c r="I16" s="793"/>
      <c r="J16" s="795"/>
      <c r="K16" s="795"/>
      <c r="L16" s="795"/>
      <c r="M16" s="793"/>
      <c r="N16" s="795"/>
      <c r="O16" s="795"/>
      <c r="P16" s="795"/>
      <c r="Q16" s="436"/>
      <c r="R16" s="436"/>
      <c r="S16" s="436"/>
      <c r="T16" s="436"/>
      <c r="U16" s="436"/>
      <c r="V16" s="436"/>
      <c r="W16" s="436"/>
      <c r="X16" s="437"/>
      <c r="Y16" s="154"/>
      <c r="Z16" s="147"/>
      <c r="AA16" s="147"/>
      <c r="AB16" s="148"/>
      <c r="AC16" s="154"/>
      <c r="AD16" s="147"/>
      <c r="AE16" s="147"/>
      <c r="AF16" s="148"/>
    </row>
    <row r="17" spans="1:37" ht="18.75" customHeight="1" x14ac:dyDescent="0.2">
      <c r="A17" s="125" t="s">
        <v>383</v>
      </c>
      <c r="B17" s="123">
        <v>76</v>
      </c>
      <c r="C17" s="237" t="s">
        <v>516</v>
      </c>
      <c r="D17" s="125" t="s">
        <v>383</v>
      </c>
      <c r="E17" s="128" t="s">
        <v>517</v>
      </c>
      <c r="F17" s="142"/>
      <c r="G17" s="270"/>
      <c r="H17" s="508" t="s">
        <v>520</v>
      </c>
      <c r="I17" s="349" t="s">
        <v>383</v>
      </c>
      <c r="J17" s="350" t="s">
        <v>250</v>
      </c>
      <c r="K17" s="351"/>
      <c r="L17" s="353" t="s">
        <v>383</v>
      </c>
      <c r="M17" s="350" t="s">
        <v>268</v>
      </c>
      <c r="N17" s="350"/>
      <c r="O17" s="377" t="s">
        <v>383</v>
      </c>
      <c r="P17" s="375" t="s">
        <v>269</v>
      </c>
      <c r="Q17" s="350"/>
      <c r="R17" s="350"/>
      <c r="S17" s="351"/>
      <c r="T17" s="351"/>
      <c r="U17" s="351"/>
      <c r="V17" s="351"/>
      <c r="W17" s="351"/>
      <c r="X17" s="365"/>
      <c r="Y17" s="154"/>
      <c r="Z17" s="147"/>
      <c r="AA17" s="147"/>
      <c r="AB17" s="148"/>
      <c r="AC17" s="154"/>
      <c r="AD17" s="147"/>
      <c r="AE17" s="147"/>
      <c r="AF17" s="148"/>
      <c r="AI17" s="109" t="str">
        <f>"76:kinkyu_code:"&amp;IF(I17="■",1,IF(O17="■",3,IF(L17="■",2,0)))</f>
        <v>76:kinkyu_code:0</v>
      </c>
    </row>
    <row r="18" spans="1:37" ht="18.75" customHeight="1" x14ac:dyDescent="0.2">
      <c r="A18" s="139"/>
      <c r="B18" s="123"/>
      <c r="C18" s="237" t="s">
        <v>518</v>
      </c>
      <c r="D18" s="125" t="s">
        <v>383</v>
      </c>
      <c r="E18" s="128" t="s">
        <v>519</v>
      </c>
      <c r="F18" s="142"/>
      <c r="G18" s="270"/>
      <c r="H18" s="508" t="s">
        <v>521</v>
      </c>
      <c r="I18" s="349" t="s">
        <v>383</v>
      </c>
      <c r="J18" s="350" t="s">
        <v>265</v>
      </c>
      <c r="K18" s="351"/>
      <c r="L18" s="352"/>
      <c r="M18" s="521" t="s">
        <v>383</v>
      </c>
      <c r="N18" s="350" t="s">
        <v>266</v>
      </c>
      <c r="O18" s="355"/>
      <c r="P18" s="355"/>
      <c r="Q18" s="351"/>
      <c r="R18" s="351"/>
      <c r="S18" s="351"/>
      <c r="T18" s="351"/>
      <c r="U18" s="351"/>
      <c r="V18" s="351"/>
      <c r="W18" s="351"/>
      <c r="X18" s="365"/>
      <c r="Y18" s="154"/>
      <c r="Z18" s="147"/>
      <c r="AA18" s="147"/>
      <c r="AB18" s="148"/>
      <c r="AC18" s="154"/>
      <c r="AD18" s="147"/>
      <c r="AE18" s="147"/>
      <c r="AF18" s="148"/>
      <c r="AI18" s="109" t="str">
        <f>"76:tokukanri_code:" &amp; IF(I18="■",1,IF(M18="■",2,0))</f>
        <v>76:tokukanri_code:0</v>
      </c>
    </row>
    <row r="19" spans="1:37" ht="18.75" customHeight="1" x14ac:dyDescent="0.2">
      <c r="A19" s="139"/>
      <c r="B19" s="123"/>
      <c r="C19" s="237"/>
      <c r="D19" s="139"/>
      <c r="E19" s="128"/>
      <c r="F19" s="142"/>
      <c r="G19" s="270"/>
      <c r="H19" s="508" t="s">
        <v>91</v>
      </c>
      <c r="I19" s="349" t="s">
        <v>383</v>
      </c>
      <c r="J19" s="350" t="s">
        <v>250</v>
      </c>
      <c r="K19" s="351"/>
      <c r="L19" s="353" t="s">
        <v>383</v>
      </c>
      <c r="M19" s="350" t="s">
        <v>267</v>
      </c>
      <c r="N19" s="350"/>
      <c r="O19" s="351"/>
      <c r="P19" s="351"/>
      <c r="Q19" s="351"/>
      <c r="R19" s="351"/>
      <c r="S19" s="351"/>
      <c r="T19" s="351"/>
      <c r="U19" s="351"/>
      <c r="V19" s="351"/>
      <c r="W19" s="351"/>
      <c r="X19" s="365"/>
      <c r="Y19" s="154"/>
      <c r="Z19" s="147"/>
      <c r="AA19" s="147"/>
      <c r="AB19" s="148"/>
      <c r="AC19" s="154"/>
      <c r="AD19" s="147"/>
      <c r="AE19" s="147"/>
      <c r="AF19" s="148"/>
      <c r="AI19" s="109" t="str">
        <f>"76:terminal_code:" &amp; IF(I19="■",1,IF(L19="■",2,0))</f>
        <v>76:terminal_code:0</v>
      </c>
    </row>
    <row r="20" spans="1:37" ht="18.75" customHeight="1" x14ac:dyDescent="0.2">
      <c r="A20" s="139"/>
      <c r="B20" s="123"/>
      <c r="C20" s="237"/>
      <c r="D20" s="139"/>
      <c r="E20" s="128"/>
      <c r="F20" s="142"/>
      <c r="G20" s="270"/>
      <c r="H20" s="508" t="s">
        <v>522</v>
      </c>
      <c r="I20" s="349" t="s">
        <v>383</v>
      </c>
      <c r="J20" s="350" t="s">
        <v>250</v>
      </c>
      <c r="K20" s="351"/>
      <c r="L20" s="353" t="s">
        <v>383</v>
      </c>
      <c r="M20" s="350" t="s">
        <v>268</v>
      </c>
      <c r="N20" s="350"/>
      <c r="O20" s="377" t="s">
        <v>383</v>
      </c>
      <c r="P20" s="375" t="s">
        <v>269</v>
      </c>
      <c r="Q20" s="350"/>
      <c r="R20" s="350"/>
      <c r="S20" s="351"/>
      <c r="T20" s="350"/>
      <c r="U20" s="351"/>
      <c r="V20" s="351"/>
      <c r="W20" s="351"/>
      <c r="X20" s="365"/>
      <c r="Y20" s="154"/>
      <c r="Z20" s="147"/>
      <c r="AA20" s="147"/>
      <c r="AB20" s="148"/>
      <c r="AC20" s="154"/>
      <c r="AD20" s="147"/>
      <c r="AE20" s="147"/>
      <c r="AF20" s="148"/>
      <c r="AI20" s="109" t="str">
        <f>"76:field168:" &amp; IF(I20="■",1,IF(L20="■",3,IF(O20="■",2,0)))</f>
        <v>76:field168:0</v>
      </c>
    </row>
    <row r="21" spans="1:37" ht="18.75" customHeight="1" x14ac:dyDescent="0.2">
      <c r="A21" s="139"/>
      <c r="B21" s="123"/>
      <c r="C21" s="237"/>
      <c r="D21" s="142"/>
      <c r="E21" s="128"/>
      <c r="F21" s="142"/>
      <c r="G21" s="270"/>
      <c r="H21" s="458" t="s">
        <v>116</v>
      </c>
      <c r="I21" s="547" t="s">
        <v>383</v>
      </c>
      <c r="J21" s="350" t="s">
        <v>250</v>
      </c>
      <c r="K21" s="350"/>
      <c r="L21" s="353" t="s">
        <v>383</v>
      </c>
      <c r="M21" s="350" t="s">
        <v>251</v>
      </c>
      <c r="N21" s="350"/>
      <c r="O21" s="353" t="s">
        <v>383</v>
      </c>
      <c r="P21" s="350" t="s">
        <v>252</v>
      </c>
      <c r="Q21" s="355"/>
      <c r="R21" s="351"/>
      <c r="S21" s="351"/>
      <c r="T21" s="351"/>
      <c r="U21" s="351"/>
      <c r="V21" s="351"/>
      <c r="W21" s="351"/>
      <c r="X21" s="365"/>
      <c r="Y21" s="154"/>
      <c r="Z21" s="147"/>
      <c r="AA21" s="147"/>
      <c r="AB21" s="148"/>
      <c r="AC21" s="154"/>
      <c r="AD21" s="147"/>
      <c r="AE21" s="147"/>
      <c r="AF21" s="148"/>
      <c r="AI21" s="109" t="str">
        <f>"76:ninti_senmoncare_code:" &amp; IF(I21="■",1,IF(O21="■",3,IF(L21="■",2,0)))</f>
        <v>76:ninti_senmoncare_code:0</v>
      </c>
    </row>
    <row r="22" spans="1:37" ht="19.5" customHeight="1" x14ac:dyDescent="0.2">
      <c r="A22" s="139"/>
      <c r="B22" s="123"/>
      <c r="C22" s="140"/>
      <c r="D22" s="141"/>
      <c r="E22" s="128"/>
      <c r="F22" s="142"/>
      <c r="G22" s="143"/>
      <c r="H22" s="348" t="s">
        <v>433</v>
      </c>
      <c r="I22" s="349" t="s">
        <v>383</v>
      </c>
      <c r="J22" s="350" t="s">
        <v>250</v>
      </c>
      <c r="K22" s="350"/>
      <c r="L22" s="353" t="s">
        <v>383</v>
      </c>
      <c r="M22" s="350" t="s">
        <v>267</v>
      </c>
      <c r="N22" s="350"/>
      <c r="O22" s="355"/>
      <c r="P22" s="350"/>
      <c r="Q22" s="355"/>
      <c r="R22" s="355"/>
      <c r="S22" s="355"/>
      <c r="T22" s="355"/>
      <c r="U22" s="355"/>
      <c r="V22" s="355"/>
      <c r="W22" s="355"/>
      <c r="X22" s="356"/>
      <c r="Y22" s="147"/>
      <c r="Z22" s="147"/>
      <c r="AA22" s="147"/>
      <c r="AB22" s="148"/>
      <c r="AC22" s="154"/>
      <c r="AD22" s="147"/>
      <c r="AE22" s="147"/>
      <c r="AF22" s="148"/>
      <c r="AI22" s="109" t="str">
        <f>"76:field224:" &amp; IF(I22="■",1,IF(L22="■",2,0))</f>
        <v>76:field224:0</v>
      </c>
    </row>
    <row r="23" spans="1:37" ht="18.75" customHeight="1" x14ac:dyDescent="0.2">
      <c r="A23" s="139"/>
      <c r="B23" s="123"/>
      <c r="C23" s="237"/>
      <c r="D23" s="142"/>
      <c r="E23" s="128"/>
      <c r="F23" s="142"/>
      <c r="G23" s="270"/>
      <c r="H23" s="508" t="s">
        <v>118</v>
      </c>
      <c r="I23" s="349" t="s">
        <v>383</v>
      </c>
      <c r="J23" s="350" t="s">
        <v>250</v>
      </c>
      <c r="K23" s="350"/>
      <c r="L23" s="353" t="s">
        <v>383</v>
      </c>
      <c r="M23" s="350" t="s">
        <v>258</v>
      </c>
      <c r="N23" s="350"/>
      <c r="O23" s="353" t="s">
        <v>383</v>
      </c>
      <c r="P23" s="350" t="s">
        <v>259</v>
      </c>
      <c r="Q23" s="528"/>
      <c r="R23" s="353" t="s">
        <v>383</v>
      </c>
      <c r="S23" s="350" t="s">
        <v>283</v>
      </c>
      <c r="T23" s="350"/>
      <c r="U23" s="350"/>
      <c r="V23" s="350"/>
      <c r="W23" s="350"/>
      <c r="X23" s="459"/>
      <c r="Y23" s="154"/>
      <c r="Z23" s="147"/>
      <c r="AA23" s="147"/>
      <c r="AB23" s="148"/>
      <c r="AC23" s="154"/>
      <c r="AD23" s="147"/>
      <c r="AE23" s="147"/>
      <c r="AF23" s="148"/>
      <c r="AI23" s="109" t="str">
        <f>"76:serteikyo_kyoka_code:" &amp; IF(I23="■",1,IF(L23="■",6,IF(O23="■",5,IF(R23="■",7,0))))</f>
        <v>76:serteikyo_kyoka_code:0</v>
      </c>
    </row>
    <row r="24" spans="1:37" s="621" customFormat="1" ht="18.75" customHeight="1" x14ac:dyDescent="0.2">
      <c r="A24" s="139"/>
      <c r="B24" s="670"/>
      <c r="C24" s="140"/>
      <c r="D24" s="141"/>
      <c r="E24" s="128"/>
      <c r="F24" s="142"/>
      <c r="G24" s="143"/>
      <c r="H24" s="713" t="s">
        <v>790</v>
      </c>
      <c r="I24" s="642" t="s">
        <v>383</v>
      </c>
      <c r="J24" s="616" t="s">
        <v>627</v>
      </c>
      <c r="K24" s="616"/>
      <c r="L24" s="615"/>
      <c r="M24" s="644" t="s">
        <v>383</v>
      </c>
      <c r="N24" s="616" t="s">
        <v>791</v>
      </c>
      <c r="O24" s="617"/>
      <c r="P24" s="615"/>
      <c r="Q24" s="644" t="s">
        <v>383</v>
      </c>
      <c r="R24" s="618" t="s">
        <v>792</v>
      </c>
      <c r="S24" s="615"/>
      <c r="T24" s="615"/>
      <c r="U24" s="615"/>
      <c r="V24" s="618"/>
      <c r="W24" s="619"/>
      <c r="X24" s="620"/>
      <c r="Y24" s="154"/>
      <c r="Z24" s="147"/>
      <c r="AA24" s="147"/>
      <c r="AB24" s="148"/>
      <c r="AC24" s="154"/>
      <c r="AD24" s="147"/>
      <c r="AE24" s="147"/>
      <c r="AF24" s="148"/>
    </row>
    <row r="25" spans="1:37" s="621" customFormat="1" ht="18.75" customHeight="1" x14ac:dyDescent="0.2">
      <c r="A25" s="183"/>
      <c r="B25" s="658"/>
      <c r="C25" s="185"/>
      <c r="D25" s="186"/>
      <c r="E25" s="187"/>
      <c r="F25" s="188"/>
      <c r="G25" s="189"/>
      <c r="H25" s="714"/>
      <c r="I25" s="643" t="s">
        <v>383</v>
      </c>
      <c r="J25" s="623" t="s">
        <v>793</v>
      </c>
      <c r="K25" s="623"/>
      <c r="L25" s="622"/>
      <c r="M25" s="211" t="s">
        <v>383</v>
      </c>
      <c r="N25" s="623" t="s">
        <v>794</v>
      </c>
      <c r="O25" s="624"/>
      <c r="P25" s="622"/>
      <c r="Q25" s="211" t="s">
        <v>383</v>
      </c>
      <c r="R25" s="623" t="s">
        <v>795</v>
      </c>
      <c r="S25" s="622"/>
      <c r="T25" s="623"/>
      <c r="U25" s="211" t="s">
        <v>383</v>
      </c>
      <c r="V25" s="623" t="s">
        <v>796</v>
      </c>
      <c r="W25" s="625"/>
      <c r="X25" s="626"/>
      <c r="Y25" s="194"/>
      <c r="Z25" s="147"/>
      <c r="AA25" s="147"/>
      <c r="AB25" s="148"/>
      <c r="AC25" s="194"/>
      <c r="AD25" s="147"/>
      <c r="AE25" s="147"/>
      <c r="AF25" s="148"/>
    </row>
    <row r="26" spans="1:37" ht="19.5" customHeight="1" x14ac:dyDescent="0.2">
      <c r="A26" s="139"/>
      <c r="B26" s="123"/>
      <c r="C26" s="237"/>
      <c r="D26" s="141"/>
      <c r="E26" s="128"/>
      <c r="F26" s="142"/>
      <c r="G26" s="143"/>
      <c r="H26" s="456" t="s">
        <v>430</v>
      </c>
      <c r="I26" s="349" t="s">
        <v>383</v>
      </c>
      <c r="J26" s="350" t="s">
        <v>395</v>
      </c>
      <c r="K26" s="351"/>
      <c r="L26" s="352"/>
      <c r="M26" s="353" t="s">
        <v>383</v>
      </c>
      <c r="N26" s="350" t="s">
        <v>431</v>
      </c>
      <c r="O26" s="354"/>
      <c r="P26" s="368"/>
      <c r="Q26" s="372"/>
      <c r="R26" s="372"/>
      <c r="S26" s="372"/>
      <c r="T26" s="372"/>
      <c r="U26" s="372"/>
      <c r="V26" s="372"/>
      <c r="W26" s="372"/>
      <c r="X26" s="373"/>
      <c r="Y26" s="118" t="s">
        <v>383</v>
      </c>
      <c r="Z26" s="119" t="s">
        <v>249</v>
      </c>
      <c r="AA26" s="119"/>
      <c r="AB26" s="137"/>
      <c r="AC26" s="118" t="s">
        <v>383</v>
      </c>
      <c r="AD26" s="119" t="s">
        <v>249</v>
      </c>
      <c r="AE26" s="119"/>
      <c r="AF26" s="137"/>
      <c r="AG26" s="109" t="str">
        <f>"ser_code = '" &amp; IF(A30="■",71,"") &amp; "'"</f>
        <v>ser_code = ''</v>
      </c>
      <c r="AH26" s="109"/>
      <c r="AI26" s="109" t="str">
        <f>"71:field223:" &amp; IF(I26="■",1,IF(M26="■",2,0))</f>
        <v>71:field223:0</v>
      </c>
      <c r="AJ26" s="109" t="str">
        <f>"71:field203:" &amp; IF(Y26="■",1,IF(Y27="■",2,0))</f>
        <v>71:field203:0</v>
      </c>
      <c r="AK26" s="109" t="str">
        <f>"71:waribiki_code:" &amp; IF(AC26="■",1,IF(AC27="■",2,0))</f>
        <v>71:waribiki_code:0</v>
      </c>
    </row>
    <row r="27" spans="1:37" s="109" customFormat="1" ht="19.5" customHeight="1" x14ac:dyDescent="0.2">
      <c r="A27" s="139"/>
      <c r="B27" s="123"/>
      <c r="C27" s="140"/>
      <c r="D27" s="141"/>
      <c r="E27" s="128"/>
      <c r="F27" s="142"/>
      <c r="G27" s="143"/>
      <c r="H27" s="348" t="s">
        <v>448</v>
      </c>
      <c r="I27" s="349" t="s">
        <v>383</v>
      </c>
      <c r="J27" s="350" t="s">
        <v>395</v>
      </c>
      <c r="K27" s="351"/>
      <c r="L27" s="352"/>
      <c r="M27" s="353" t="s">
        <v>383</v>
      </c>
      <c r="N27" s="350" t="s">
        <v>431</v>
      </c>
      <c r="O27" s="354"/>
      <c r="P27" s="350"/>
      <c r="Q27" s="355"/>
      <c r="R27" s="355"/>
      <c r="S27" s="355"/>
      <c r="T27" s="355"/>
      <c r="U27" s="355"/>
      <c r="V27" s="355"/>
      <c r="W27" s="355"/>
      <c r="X27" s="356"/>
      <c r="Y27" s="118" t="s">
        <v>383</v>
      </c>
      <c r="Z27" s="126" t="s">
        <v>255</v>
      </c>
      <c r="AA27" s="147"/>
      <c r="AB27" s="148"/>
      <c r="AC27" s="118" t="s">
        <v>383</v>
      </c>
      <c r="AD27" s="126" t="s">
        <v>255</v>
      </c>
      <c r="AE27" s="147"/>
      <c r="AF27" s="102"/>
      <c r="AG27" s="109" t="str">
        <f>"71:sisetukbn_code:" &amp; IF(D30="■",1,IF(D31="■",2,0))</f>
        <v>71:sisetukbn_code:0</v>
      </c>
      <c r="AI27" s="109" t="str">
        <f>"76:field232:" &amp; IF(I27="■",1,IF(M27="■",2,0))</f>
        <v>76:field232:0</v>
      </c>
    </row>
    <row r="28" spans="1:37" ht="18.75" customHeight="1" x14ac:dyDescent="0.2">
      <c r="A28" s="139"/>
      <c r="B28" s="123"/>
      <c r="C28" s="237"/>
      <c r="D28" s="142"/>
      <c r="E28" s="128"/>
      <c r="F28" s="142"/>
      <c r="G28" s="270"/>
      <c r="H28" s="546" t="s">
        <v>523</v>
      </c>
      <c r="I28" s="349" t="s">
        <v>383</v>
      </c>
      <c r="J28" s="350" t="s">
        <v>265</v>
      </c>
      <c r="K28" s="351"/>
      <c r="L28" s="352"/>
      <c r="M28" s="521" t="s">
        <v>383</v>
      </c>
      <c r="N28" s="350" t="s">
        <v>266</v>
      </c>
      <c r="O28" s="355"/>
      <c r="P28" s="381"/>
      <c r="Q28" s="381"/>
      <c r="R28" s="381"/>
      <c r="S28" s="381"/>
      <c r="T28" s="381"/>
      <c r="U28" s="381"/>
      <c r="V28" s="381"/>
      <c r="W28" s="381"/>
      <c r="X28" s="442"/>
      <c r="Y28" s="154"/>
      <c r="Z28" s="126"/>
      <c r="AA28" s="147"/>
      <c r="AB28" s="148"/>
      <c r="AC28" s="154"/>
      <c r="AD28" s="126"/>
      <c r="AE28" s="147"/>
      <c r="AF28" s="148"/>
      <c r="AG28" s="109"/>
      <c r="AI28" s="109" t="str">
        <f>"71:tuuhoutaiou_code:" &amp; IF(I28="■",1,IF(M28="■",2,0))</f>
        <v>71:tuuhoutaiou_code:0</v>
      </c>
    </row>
    <row r="29" spans="1:37" ht="18.75" customHeight="1" x14ac:dyDescent="0.2">
      <c r="A29" s="139"/>
      <c r="B29" s="123"/>
      <c r="C29" s="237"/>
      <c r="D29" s="142"/>
      <c r="E29" s="128"/>
      <c r="F29" s="142"/>
      <c r="G29" s="270"/>
      <c r="H29" s="245" t="s">
        <v>137</v>
      </c>
      <c r="I29" s="156" t="s">
        <v>781</v>
      </c>
      <c r="J29" s="157" t="s">
        <v>250</v>
      </c>
      <c r="K29" s="158"/>
      <c r="L29" s="160" t="s">
        <v>383</v>
      </c>
      <c r="M29" s="157" t="s">
        <v>267</v>
      </c>
      <c r="N29" s="207"/>
      <c r="O29" s="207"/>
      <c r="P29" s="207"/>
      <c r="Q29" s="207"/>
      <c r="R29" s="207"/>
      <c r="S29" s="207"/>
      <c r="T29" s="207"/>
      <c r="U29" s="207"/>
      <c r="V29" s="207"/>
      <c r="W29" s="207"/>
      <c r="X29" s="208"/>
      <c r="Y29" s="154"/>
      <c r="Z29" s="147"/>
      <c r="AA29" s="147"/>
      <c r="AB29" s="148"/>
      <c r="AC29" s="154"/>
      <c r="AD29" s="147"/>
      <c r="AE29" s="147"/>
      <c r="AF29" s="148"/>
      <c r="AI29" s="109" t="str">
        <f>"71:tokutiiki_code:" &amp; IF(I29="■",1,IF(L29="■",2,0))</f>
        <v>71:tokutiiki_code:1</v>
      </c>
    </row>
    <row r="30" spans="1:37" ht="18.75" customHeight="1" x14ac:dyDescent="0.2">
      <c r="A30" s="125" t="s">
        <v>383</v>
      </c>
      <c r="B30" s="123">
        <v>71</v>
      </c>
      <c r="C30" s="237" t="s">
        <v>524</v>
      </c>
      <c r="D30" s="125" t="s">
        <v>383</v>
      </c>
      <c r="E30" s="128" t="s">
        <v>379</v>
      </c>
      <c r="F30" s="142"/>
      <c r="G30" s="270"/>
      <c r="H30" s="694" t="s">
        <v>209</v>
      </c>
      <c r="I30" s="707" t="s">
        <v>781</v>
      </c>
      <c r="J30" s="708" t="s">
        <v>256</v>
      </c>
      <c r="K30" s="708"/>
      <c r="L30" s="708"/>
      <c r="M30" s="707" t="s">
        <v>383</v>
      </c>
      <c r="N30" s="708" t="s">
        <v>257</v>
      </c>
      <c r="O30" s="708"/>
      <c r="P30" s="708"/>
      <c r="Q30" s="181"/>
      <c r="R30" s="181"/>
      <c r="S30" s="181"/>
      <c r="T30" s="181"/>
      <c r="U30" s="181"/>
      <c r="V30" s="181"/>
      <c r="W30" s="181"/>
      <c r="X30" s="182"/>
      <c r="Y30" s="154"/>
      <c r="Z30" s="147"/>
      <c r="AA30" s="147"/>
      <c r="AB30" s="148"/>
      <c r="AC30" s="154"/>
      <c r="AD30" s="147"/>
      <c r="AE30" s="147"/>
      <c r="AF30" s="148"/>
      <c r="AI30" s="109" t="str">
        <f>"71:chuusankanti_tiiki_code:" &amp; IF(I30="■",1,IF(M30="■",2,0))</f>
        <v>71:chuusankanti_tiiki_code:1</v>
      </c>
    </row>
    <row r="31" spans="1:37" ht="18.75" customHeight="1" x14ac:dyDescent="0.2">
      <c r="A31" s="139"/>
      <c r="B31" s="123"/>
      <c r="C31" s="140"/>
      <c r="D31" s="125" t="s">
        <v>383</v>
      </c>
      <c r="E31" s="128" t="s">
        <v>365</v>
      </c>
      <c r="F31" s="142"/>
      <c r="G31" s="270"/>
      <c r="H31" s="693"/>
      <c r="I31" s="696"/>
      <c r="J31" s="698"/>
      <c r="K31" s="698"/>
      <c r="L31" s="698"/>
      <c r="M31" s="696"/>
      <c r="N31" s="698"/>
      <c r="O31" s="698"/>
      <c r="P31" s="698"/>
      <c r="Q31" s="152"/>
      <c r="R31" s="152"/>
      <c r="S31" s="152"/>
      <c r="T31" s="152"/>
      <c r="U31" s="152"/>
      <c r="V31" s="152"/>
      <c r="W31" s="152"/>
      <c r="X31" s="153"/>
      <c r="Y31" s="154"/>
      <c r="Z31" s="147"/>
      <c r="AA31" s="147"/>
      <c r="AB31" s="148"/>
      <c r="AC31" s="154"/>
      <c r="AD31" s="147"/>
      <c r="AE31" s="147"/>
      <c r="AF31" s="148"/>
    </row>
    <row r="32" spans="1:37" ht="18.75" customHeight="1" x14ac:dyDescent="0.2">
      <c r="A32" s="139"/>
      <c r="B32" s="123"/>
      <c r="C32" s="237"/>
      <c r="D32" s="139"/>
      <c r="E32" s="128"/>
      <c r="F32" s="142"/>
      <c r="G32" s="270"/>
      <c r="H32" s="204" t="s">
        <v>116</v>
      </c>
      <c r="I32" s="290" t="s">
        <v>383</v>
      </c>
      <c r="J32" s="157" t="s">
        <v>250</v>
      </c>
      <c r="K32" s="157"/>
      <c r="L32" s="160" t="s">
        <v>383</v>
      </c>
      <c r="M32" s="157" t="s">
        <v>251</v>
      </c>
      <c r="N32" s="157"/>
      <c r="O32" s="160" t="s">
        <v>383</v>
      </c>
      <c r="P32" s="157" t="s">
        <v>252</v>
      </c>
      <c r="Q32" s="162"/>
      <c r="R32" s="158"/>
      <c r="S32" s="158"/>
      <c r="T32" s="158"/>
      <c r="U32" s="158"/>
      <c r="V32" s="158"/>
      <c r="W32" s="158"/>
      <c r="X32" s="166"/>
      <c r="Y32" s="154"/>
      <c r="Z32" s="147"/>
      <c r="AA32" s="147"/>
      <c r="AB32" s="148"/>
      <c r="AC32" s="154"/>
      <c r="AD32" s="147"/>
      <c r="AE32" s="147"/>
      <c r="AF32" s="148"/>
      <c r="AI32" s="109" t="str">
        <f>"71:ninti_senmoncare_code:" &amp; IF(I32="■",1,IF(O32="■",3,IF(L32="■",2,0)))</f>
        <v>71:ninti_senmoncare_code:0</v>
      </c>
    </row>
    <row r="33" spans="1:37" ht="18.75" customHeight="1" x14ac:dyDescent="0.2">
      <c r="A33" s="139"/>
      <c r="B33" s="123"/>
      <c r="C33" s="140"/>
      <c r="D33" s="139"/>
      <c r="E33" s="128"/>
      <c r="F33" s="142"/>
      <c r="G33" s="270"/>
      <c r="H33" s="843" t="s">
        <v>118</v>
      </c>
      <c r="I33" s="175" t="s">
        <v>383</v>
      </c>
      <c r="J33" s="168" t="s">
        <v>250</v>
      </c>
      <c r="K33" s="172"/>
      <c r="L33" s="206" t="s">
        <v>383</v>
      </c>
      <c r="M33" s="168" t="s">
        <v>525</v>
      </c>
      <c r="N33" s="172"/>
      <c r="O33" s="172"/>
      <c r="P33" s="172"/>
      <c r="Q33" s="172"/>
      <c r="R33" s="206" t="s">
        <v>383</v>
      </c>
      <c r="S33" s="168" t="s">
        <v>526</v>
      </c>
      <c r="T33" s="168"/>
      <c r="U33" s="172"/>
      <c r="V33" s="172"/>
      <c r="W33" s="172"/>
      <c r="X33" s="209"/>
      <c r="Y33" s="154"/>
      <c r="Z33" s="147"/>
      <c r="AA33" s="147"/>
      <c r="AB33" s="148"/>
      <c r="AC33" s="154"/>
      <c r="AD33" s="147"/>
      <c r="AE33" s="147"/>
      <c r="AF33" s="148"/>
      <c r="AI33" s="109" t="str">
        <f>"71:serteikyo_kyoka_code:" &amp; IF(I33="■",1,IF(L33="■",6,IF(R33="■",4,IF(I34="■",7,IF(O34="■",8,IF(I35="■",5,IF(O35="■",9,0)))))))</f>
        <v>71:serteikyo_kyoka_code:0</v>
      </c>
    </row>
    <row r="34" spans="1:37" ht="18.75" customHeight="1" x14ac:dyDescent="0.2">
      <c r="A34" s="139"/>
      <c r="B34" s="123"/>
      <c r="C34" s="237"/>
      <c r="D34" s="142"/>
      <c r="E34" s="128"/>
      <c r="F34" s="142"/>
      <c r="G34" s="270"/>
      <c r="H34" s="844"/>
      <c r="I34" s="125" t="s">
        <v>383</v>
      </c>
      <c r="J34" s="108" t="s">
        <v>527</v>
      </c>
      <c r="K34" s="145"/>
      <c r="L34" s="145"/>
      <c r="M34" s="145"/>
      <c r="N34" s="145"/>
      <c r="O34" s="118" t="s">
        <v>383</v>
      </c>
      <c r="P34" s="315" t="s">
        <v>528</v>
      </c>
      <c r="Q34" s="145"/>
      <c r="R34" s="145"/>
      <c r="S34" s="145"/>
      <c r="T34" s="145"/>
      <c r="U34" s="145"/>
      <c r="V34" s="145"/>
      <c r="W34" s="145"/>
      <c r="X34" s="146"/>
      <c r="Y34" s="154"/>
      <c r="Z34" s="147"/>
      <c r="AA34" s="147"/>
      <c r="AB34" s="148"/>
      <c r="AC34" s="154"/>
      <c r="AD34" s="147"/>
      <c r="AE34" s="147"/>
      <c r="AF34" s="148"/>
    </row>
    <row r="35" spans="1:37" ht="18.75" customHeight="1" x14ac:dyDescent="0.2">
      <c r="A35" s="141"/>
      <c r="B35" s="178"/>
      <c r="C35" s="124"/>
      <c r="F35" s="142"/>
      <c r="G35" s="270"/>
      <c r="H35" s="845"/>
      <c r="I35" s="125" t="s">
        <v>383</v>
      </c>
      <c r="J35" s="108" t="s">
        <v>529</v>
      </c>
      <c r="K35" s="145"/>
      <c r="L35" s="145"/>
      <c r="M35" s="145"/>
      <c r="N35" s="145"/>
      <c r="O35" s="118" t="s">
        <v>383</v>
      </c>
      <c r="P35" s="315" t="s">
        <v>530</v>
      </c>
      <c r="Q35" s="145"/>
      <c r="R35" s="152"/>
      <c r="S35" s="145"/>
      <c r="T35" s="145"/>
      <c r="U35" s="145"/>
      <c r="V35" s="152"/>
      <c r="W35" s="145"/>
      <c r="X35" s="146"/>
      <c r="Y35" s="154"/>
      <c r="Z35" s="147"/>
      <c r="AA35" s="147"/>
      <c r="AB35" s="148"/>
      <c r="AC35" s="154"/>
      <c r="AD35" s="147"/>
      <c r="AE35" s="147"/>
      <c r="AF35" s="148"/>
    </row>
    <row r="36" spans="1:37" s="621" customFormat="1" ht="18.75" customHeight="1" x14ac:dyDescent="0.2">
      <c r="A36" s="139"/>
      <c r="B36" s="670"/>
      <c r="C36" s="140"/>
      <c r="D36" s="141"/>
      <c r="E36" s="128"/>
      <c r="F36" s="142"/>
      <c r="G36" s="143"/>
      <c r="H36" s="713" t="s">
        <v>790</v>
      </c>
      <c r="I36" s="642" t="s">
        <v>383</v>
      </c>
      <c r="J36" s="616" t="s">
        <v>627</v>
      </c>
      <c r="K36" s="616"/>
      <c r="L36" s="615"/>
      <c r="M36" s="644" t="s">
        <v>383</v>
      </c>
      <c r="N36" s="616" t="s">
        <v>791</v>
      </c>
      <c r="O36" s="617"/>
      <c r="P36" s="615"/>
      <c r="Q36" s="644" t="s">
        <v>383</v>
      </c>
      <c r="R36" s="618" t="s">
        <v>792</v>
      </c>
      <c r="S36" s="615"/>
      <c r="T36" s="615"/>
      <c r="U36" s="615"/>
      <c r="V36" s="618"/>
      <c r="W36" s="619"/>
      <c r="X36" s="620"/>
      <c r="Y36" s="154"/>
      <c r="Z36" s="147"/>
      <c r="AA36" s="147"/>
      <c r="AB36" s="148"/>
      <c r="AC36" s="154"/>
      <c r="AD36" s="147"/>
      <c r="AE36" s="147"/>
      <c r="AF36" s="148"/>
    </row>
    <row r="37" spans="1:37" s="621" customFormat="1" ht="18.75" customHeight="1" x14ac:dyDescent="0.2">
      <c r="A37" s="183"/>
      <c r="B37" s="658"/>
      <c r="C37" s="185"/>
      <c r="D37" s="186"/>
      <c r="E37" s="187"/>
      <c r="F37" s="188"/>
      <c r="G37" s="189"/>
      <c r="H37" s="714"/>
      <c r="I37" s="643" t="s">
        <v>383</v>
      </c>
      <c r="J37" s="623" t="s">
        <v>793</v>
      </c>
      <c r="K37" s="623"/>
      <c r="L37" s="622"/>
      <c r="M37" s="211" t="s">
        <v>383</v>
      </c>
      <c r="N37" s="623" t="s">
        <v>794</v>
      </c>
      <c r="O37" s="624"/>
      <c r="P37" s="622"/>
      <c r="Q37" s="211" t="s">
        <v>383</v>
      </c>
      <c r="R37" s="623" t="s">
        <v>795</v>
      </c>
      <c r="S37" s="622"/>
      <c r="T37" s="623"/>
      <c r="U37" s="211" t="s">
        <v>383</v>
      </c>
      <c r="V37" s="623" t="s">
        <v>796</v>
      </c>
      <c r="W37" s="625"/>
      <c r="X37" s="626"/>
      <c r="Y37" s="194"/>
      <c r="Z37" s="147"/>
      <c r="AA37" s="147"/>
      <c r="AB37" s="148"/>
      <c r="AC37" s="194"/>
      <c r="AD37" s="147"/>
      <c r="AE37" s="147"/>
      <c r="AF37" s="148"/>
    </row>
    <row r="38" spans="1:37" ht="18.75" customHeight="1" x14ac:dyDescent="0.2">
      <c r="A38" s="129"/>
      <c r="B38" s="116"/>
      <c r="C38" s="233"/>
      <c r="D38" s="131"/>
      <c r="E38" s="121"/>
      <c r="F38" s="132"/>
      <c r="G38" s="133"/>
      <c r="H38" s="548" t="s">
        <v>93</v>
      </c>
      <c r="I38" s="549" t="s">
        <v>383</v>
      </c>
      <c r="J38" s="550" t="s">
        <v>250</v>
      </c>
      <c r="K38" s="550"/>
      <c r="L38" s="551"/>
      <c r="M38" s="552" t="s">
        <v>383</v>
      </c>
      <c r="N38" s="550" t="s">
        <v>281</v>
      </c>
      <c r="O38" s="550"/>
      <c r="P38" s="551"/>
      <c r="Q38" s="552" t="s">
        <v>383</v>
      </c>
      <c r="R38" s="553" t="s">
        <v>282</v>
      </c>
      <c r="S38" s="553"/>
      <c r="T38" s="553"/>
      <c r="U38" s="553"/>
      <c r="V38" s="553"/>
      <c r="W38" s="553"/>
      <c r="X38" s="554"/>
      <c r="Y38" s="134" t="s">
        <v>383</v>
      </c>
      <c r="Z38" s="119" t="s">
        <v>249</v>
      </c>
      <c r="AA38" s="119"/>
      <c r="AB38" s="137"/>
      <c r="AC38" s="134" t="s">
        <v>383</v>
      </c>
      <c r="AD38" s="119" t="s">
        <v>249</v>
      </c>
      <c r="AE38" s="119"/>
      <c r="AF38" s="137"/>
      <c r="AG38" s="109" t="str">
        <f>"ser_code = '" &amp; IF(A53="■",78,"") &amp; "'"</f>
        <v>ser_code = ''</v>
      </c>
      <c r="AH38" s="109"/>
      <c r="AI38" s="109" t="str">
        <f>"78:"&amp;IF(AND(I38="□",M38="□",Q38="□"),"ketu_kangos_code:0",IF(I38="■","ketu_kangos_code:1:ketu_kshoku_code:1",IF(M38="■","ketu_kangos_code:2","ketu_kangos_code:1")&amp;IF(Q38="■",":ketu_kshoku_code:2",":ketu_kshoku_code:1")))</f>
        <v>78:ketu_kangos_code:0</v>
      </c>
      <c r="AJ38" s="109" t="str">
        <f>"78:field203:" &amp; IF(Y38="■",1,IF(Y39="■",2,0))</f>
        <v>78:field203:0</v>
      </c>
      <c r="AK38" s="109" t="str">
        <f>"78:waribiki_code:" &amp; IF(AC38="■",1,IF(AC39="■",2,0))</f>
        <v>78:waribiki_code:0</v>
      </c>
    </row>
    <row r="39" spans="1:37" ht="19.5" customHeight="1" x14ac:dyDescent="0.2">
      <c r="A39" s="139"/>
      <c r="B39" s="123"/>
      <c r="C39" s="140"/>
      <c r="D39" s="141"/>
      <c r="E39" s="128"/>
      <c r="F39" s="142"/>
      <c r="G39" s="143"/>
      <c r="H39" s="257" t="s">
        <v>430</v>
      </c>
      <c r="I39" s="150" t="s">
        <v>383</v>
      </c>
      <c r="J39" s="169" t="s">
        <v>395</v>
      </c>
      <c r="K39" s="179"/>
      <c r="L39" s="254"/>
      <c r="M39" s="203" t="s">
        <v>383</v>
      </c>
      <c r="N39" s="169" t="s">
        <v>431</v>
      </c>
      <c r="O39" s="177"/>
      <c r="P39" s="169"/>
      <c r="Q39" s="152"/>
      <c r="R39" s="152"/>
      <c r="S39" s="152"/>
      <c r="T39" s="152"/>
      <c r="U39" s="152"/>
      <c r="V39" s="152"/>
      <c r="W39" s="152"/>
      <c r="X39" s="153"/>
      <c r="Y39" s="118" t="s">
        <v>383</v>
      </c>
      <c r="Z39" s="126" t="s">
        <v>255</v>
      </c>
      <c r="AA39" s="147"/>
      <c r="AB39" s="148"/>
      <c r="AC39" s="118" t="s">
        <v>383</v>
      </c>
      <c r="AD39" s="126" t="s">
        <v>255</v>
      </c>
      <c r="AE39" s="147"/>
      <c r="AF39" s="148"/>
      <c r="AG39" s="109" t="str">
        <f>"78:sisetukbn_code:" &amp; IF(D53="■",1,IF(D54="■",2,IF(D55="■",3,0)))</f>
        <v>78:sisetukbn_code:0</v>
      </c>
      <c r="AH39" s="109"/>
      <c r="AI39" s="109" t="str">
        <f>"78:field223:" &amp; IF(I39="■",1,IF(M39="■",2,0))</f>
        <v>78:field223:0</v>
      </c>
      <c r="AJ39" s="109"/>
      <c r="AK39" s="109"/>
    </row>
    <row r="40" spans="1:37" ht="19.5" customHeight="1" x14ac:dyDescent="0.2">
      <c r="A40" s="139"/>
      <c r="B40" s="123"/>
      <c r="C40" s="140"/>
      <c r="D40" s="141"/>
      <c r="E40" s="128"/>
      <c r="F40" s="142"/>
      <c r="G40" s="143"/>
      <c r="H40" s="155" t="s">
        <v>448</v>
      </c>
      <c r="I40" s="156" t="s">
        <v>383</v>
      </c>
      <c r="J40" s="157" t="s">
        <v>395</v>
      </c>
      <c r="K40" s="158"/>
      <c r="L40" s="159"/>
      <c r="M40" s="160" t="s">
        <v>383</v>
      </c>
      <c r="N40" s="157" t="s">
        <v>431</v>
      </c>
      <c r="O40" s="161"/>
      <c r="P40" s="157"/>
      <c r="Q40" s="162"/>
      <c r="R40" s="162"/>
      <c r="S40" s="162"/>
      <c r="T40" s="162"/>
      <c r="U40" s="162"/>
      <c r="V40" s="162"/>
      <c r="W40" s="162"/>
      <c r="X40" s="163"/>
      <c r="Y40" s="154"/>
      <c r="Z40" s="147"/>
      <c r="AA40" s="147"/>
      <c r="AB40" s="148"/>
      <c r="AC40" s="154"/>
      <c r="AD40" s="147"/>
      <c r="AE40" s="147"/>
      <c r="AF40" s="148"/>
      <c r="AI40" s="109" t="str">
        <f>"78:field232:" &amp; IF(I40="■",1,IF(M40="■",2,0))</f>
        <v>78:field232:0</v>
      </c>
    </row>
    <row r="41" spans="1:37" ht="18.75" customHeight="1" x14ac:dyDescent="0.2">
      <c r="A41" s="139"/>
      <c r="B41" s="123"/>
      <c r="C41" s="237"/>
      <c r="D41" s="142"/>
      <c r="E41" s="128"/>
      <c r="F41" s="142"/>
      <c r="G41" s="270"/>
      <c r="H41" s="694" t="s">
        <v>223</v>
      </c>
      <c r="I41" s="709" t="s">
        <v>383</v>
      </c>
      <c r="J41" s="708" t="s">
        <v>250</v>
      </c>
      <c r="K41" s="708"/>
      <c r="L41" s="717" t="s">
        <v>383</v>
      </c>
      <c r="M41" s="708" t="s">
        <v>267</v>
      </c>
      <c r="N41" s="708"/>
      <c r="O41" s="172"/>
      <c r="P41" s="172"/>
      <c r="Q41" s="172"/>
      <c r="R41" s="172"/>
      <c r="S41" s="172"/>
      <c r="T41" s="172"/>
      <c r="U41" s="172"/>
      <c r="V41" s="172"/>
      <c r="W41" s="172"/>
      <c r="X41" s="209"/>
      <c r="Y41" s="154"/>
      <c r="Z41" s="147"/>
      <c r="AA41" s="147"/>
      <c r="AB41" s="148"/>
      <c r="AC41" s="154"/>
      <c r="AD41" s="147"/>
      <c r="AE41" s="147"/>
      <c r="AF41" s="148"/>
      <c r="AI41" s="109" t="str">
        <f>"78:field204:" &amp; IF(I41="■",1,IF(L41="■",2,0))</f>
        <v>78:field204:0</v>
      </c>
    </row>
    <row r="42" spans="1:37" ht="18.75" customHeight="1" x14ac:dyDescent="0.2">
      <c r="A42" s="139"/>
      <c r="B42" s="123"/>
      <c r="C42" s="237"/>
      <c r="D42" s="142"/>
      <c r="E42" s="128"/>
      <c r="F42" s="142"/>
      <c r="G42" s="270"/>
      <c r="H42" s="692"/>
      <c r="I42" s="720"/>
      <c r="J42" s="697"/>
      <c r="K42" s="697"/>
      <c r="L42" s="721"/>
      <c r="M42" s="697"/>
      <c r="N42" s="697"/>
      <c r="X42" s="178"/>
      <c r="Y42" s="154"/>
      <c r="Z42" s="147"/>
      <c r="AA42" s="147"/>
      <c r="AB42" s="148"/>
      <c r="AC42" s="154"/>
      <c r="AD42" s="147"/>
      <c r="AE42" s="147"/>
      <c r="AF42" s="148"/>
      <c r="AI42" s="109"/>
    </row>
    <row r="43" spans="1:37" ht="18.75" customHeight="1" x14ac:dyDescent="0.2">
      <c r="A43" s="139"/>
      <c r="B43" s="123"/>
      <c r="C43" s="237"/>
      <c r="D43" s="142"/>
      <c r="E43" s="128"/>
      <c r="F43" s="142"/>
      <c r="G43" s="270"/>
      <c r="H43" s="693"/>
      <c r="I43" s="710"/>
      <c r="J43" s="698"/>
      <c r="K43" s="698"/>
      <c r="L43" s="718"/>
      <c r="M43" s="698"/>
      <c r="N43" s="698"/>
      <c r="O43" s="151"/>
      <c r="P43" s="151"/>
      <c r="Q43" s="151"/>
      <c r="R43" s="151"/>
      <c r="S43" s="151"/>
      <c r="T43" s="151"/>
      <c r="U43" s="151"/>
      <c r="V43" s="151"/>
      <c r="W43" s="151"/>
      <c r="X43" s="238"/>
      <c r="Y43" s="154"/>
      <c r="Z43" s="147"/>
      <c r="AA43" s="147"/>
      <c r="AB43" s="148"/>
      <c r="AC43" s="154"/>
      <c r="AD43" s="147"/>
      <c r="AE43" s="147"/>
      <c r="AF43" s="148"/>
      <c r="AI43" s="109"/>
    </row>
    <row r="44" spans="1:37" ht="18.75" customHeight="1" x14ac:dyDescent="0.2">
      <c r="A44" s="139"/>
      <c r="B44" s="123"/>
      <c r="C44" s="237"/>
      <c r="D44" s="142"/>
      <c r="E44" s="128"/>
      <c r="F44" s="142"/>
      <c r="G44" s="270"/>
      <c r="H44" s="245" t="s">
        <v>531</v>
      </c>
      <c r="I44" s="118" t="s">
        <v>383</v>
      </c>
      <c r="J44" s="157" t="s">
        <v>265</v>
      </c>
      <c r="K44" s="158"/>
      <c r="L44" s="159"/>
      <c r="M44" s="118" t="s">
        <v>383</v>
      </c>
      <c r="N44" s="157" t="s">
        <v>266</v>
      </c>
      <c r="O44" s="162"/>
      <c r="P44" s="162"/>
      <c r="Q44" s="162"/>
      <c r="R44" s="162"/>
      <c r="S44" s="162"/>
      <c r="T44" s="162"/>
      <c r="U44" s="162"/>
      <c r="V44" s="162"/>
      <c r="W44" s="162"/>
      <c r="X44" s="163"/>
      <c r="Y44" s="154"/>
      <c r="Z44" s="147"/>
      <c r="AA44" s="147"/>
      <c r="AB44" s="148"/>
      <c r="AC44" s="154"/>
      <c r="AD44" s="147"/>
      <c r="AE44" s="147"/>
      <c r="AF44" s="148"/>
      <c r="AI44" s="109" t="str">
        <f>"78:timeser_code:" &amp; IF(I44="■",1,IF(M44="■",2,0))</f>
        <v>78:timeser_code:0</v>
      </c>
    </row>
    <row r="45" spans="1:37" ht="18.75" customHeight="1" x14ac:dyDescent="0.2">
      <c r="A45" s="139"/>
      <c r="B45" s="123"/>
      <c r="C45" s="237"/>
      <c r="D45" s="142"/>
      <c r="E45" s="128"/>
      <c r="F45" s="142"/>
      <c r="G45" s="270"/>
      <c r="H45" s="694" t="s">
        <v>159</v>
      </c>
      <c r="I45" s="707" t="s">
        <v>383</v>
      </c>
      <c r="J45" s="708" t="s">
        <v>250</v>
      </c>
      <c r="K45" s="708"/>
      <c r="L45" s="707" t="s">
        <v>383</v>
      </c>
      <c r="M45" s="708" t="s">
        <v>267</v>
      </c>
      <c r="N45" s="708"/>
      <c r="O45" s="168"/>
      <c r="P45" s="168"/>
      <c r="Q45" s="168"/>
      <c r="R45" s="168"/>
      <c r="S45" s="168"/>
      <c r="T45" s="168"/>
      <c r="U45" s="168"/>
      <c r="V45" s="168"/>
      <c r="W45" s="168"/>
      <c r="X45" s="173"/>
      <c r="Y45" s="154"/>
      <c r="Z45" s="147"/>
      <c r="AA45" s="147"/>
      <c r="AB45" s="148"/>
      <c r="AC45" s="154"/>
      <c r="AD45" s="147"/>
      <c r="AE45" s="147"/>
      <c r="AF45" s="148"/>
      <c r="AI45" s="109" t="str">
        <f>"78:field181:" &amp; IF(I45="■",1,IF(L45="■",2,0))</f>
        <v>78:field181:0</v>
      </c>
    </row>
    <row r="46" spans="1:37" ht="18.75" customHeight="1" x14ac:dyDescent="0.2">
      <c r="A46" s="139"/>
      <c r="B46" s="123"/>
      <c r="C46" s="237"/>
      <c r="D46" s="142"/>
      <c r="E46" s="128"/>
      <c r="F46" s="142"/>
      <c r="G46" s="270"/>
      <c r="H46" s="693"/>
      <c r="I46" s="696"/>
      <c r="J46" s="698"/>
      <c r="K46" s="698"/>
      <c r="L46" s="696"/>
      <c r="M46" s="698"/>
      <c r="N46" s="698"/>
      <c r="O46" s="169"/>
      <c r="P46" s="169"/>
      <c r="Q46" s="169"/>
      <c r="R46" s="169"/>
      <c r="S46" s="169"/>
      <c r="T46" s="169"/>
      <c r="U46" s="169"/>
      <c r="V46" s="169"/>
      <c r="W46" s="169"/>
      <c r="X46" s="170"/>
      <c r="Y46" s="154"/>
      <c r="Z46" s="147"/>
      <c r="AA46" s="147"/>
      <c r="AB46" s="148"/>
      <c r="AC46" s="154"/>
      <c r="AD46" s="147"/>
      <c r="AE46" s="147"/>
      <c r="AF46" s="148"/>
      <c r="AI46" s="109"/>
    </row>
    <row r="47" spans="1:37" ht="18.75" customHeight="1" x14ac:dyDescent="0.2">
      <c r="A47" s="139"/>
      <c r="B47" s="123"/>
      <c r="C47" s="237"/>
      <c r="D47" s="142"/>
      <c r="E47" s="128"/>
      <c r="F47" s="142"/>
      <c r="G47" s="270"/>
      <c r="H47" s="694" t="s">
        <v>160</v>
      </c>
      <c r="I47" s="707" t="s">
        <v>383</v>
      </c>
      <c r="J47" s="708" t="s">
        <v>250</v>
      </c>
      <c r="K47" s="708"/>
      <c r="L47" s="707" t="s">
        <v>383</v>
      </c>
      <c r="M47" s="708" t="s">
        <v>267</v>
      </c>
      <c r="N47" s="708"/>
      <c r="O47" s="168"/>
      <c r="P47" s="168"/>
      <c r="Q47" s="168"/>
      <c r="R47" s="168"/>
      <c r="S47" s="168"/>
      <c r="T47" s="168"/>
      <c r="U47" s="168"/>
      <c r="V47" s="168"/>
      <c r="W47" s="168"/>
      <c r="X47" s="173"/>
      <c r="Y47" s="154"/>
      <c r="Z47" s="147"/>
      <c r="AA47" s="147"/>
      <c r="AB47" s="148"/>
      <c r="AC47" s="154"/>
      <c r="AD47" s="147"/>
      <c r="AE47" s="147"/>
      <c r="AF47" s="148"/>
      <c r="AI47" s="109" t="str">
        <f>"78:field182:" &amp; IF(I47="■",1,IF(L47="■",2,0))</f>
        <v>78:field182:0</v>
      </c>
    </row>
    <row r="48" spans="1:37" ht="18.75" customHeight="1" x14ac:dyDescent="0.2">
      <c r="A48" s="139"/>
      <c r="B48" s="123"/>
      <c r="C48" s="237"/>
      <c r="D48" s="142"/>
      <c r="E48" s="128"/>
      <c r="F48" s="142"/>
      <c r="G48" s="270"/>
      <c r="H48" s="693"/>
      <c r="I48" s="696"/>
      <c r="J48" s="698"/>
      <c r="K48" s="698"/>
      <c r="L48" s="696"/>
      <c r="M48" s="698"/>
      <c r="N48" s="698"/>
      <c r="O48" s="169"/>
      <c r="P48" s="169"/>
      <c r="Q48" s="169"/>
      <c r="R48" s="169"/>
      <c r="S48" s="169"/>
      <c r="T48" s="169"/>
      <c r="U48" s="169"/>
      <c r="V48" s="169"/>
      <c r="W48" s="169"/>
      <c r="X48" s="170"/>
      <c r="Y48" s="154"/>
      <c r="Z48" s="147"/>
      <c r="AA48" s="147"/>
      <c r="AB48" s="148"/>
      <c r="AC48" s="154"/>
      <c r="AD48" s="147"/>
      <c r="AE48" s="147"/>
      <c r="AF48" s="148"/>
      <c r="AI48" s="109"/>
    </row>
    <row r="49" spans="1:35" ht="18.75" customHeight="1" x14ac:dyDescent="0.2">
      <c r="A49" s="139"/>
      <c r="B49" s="123"/>
      <c r="C49" s="237"/>
      <c r="D49" s="142"/>
      <c r="E49" s="128"/>
      <c r="F49" s="142"/>
      <c r="G49" s="270"/>
      <c r="H49" s="694" t="s">
        <v>161</v>
      </c>
      <c r="I49" s="707" t="s">
        <v>383</v>
      </c>
      <c r="J49" s="708" t="s">
        <v>250</v>
      </c>
      <c r="K49" s="708"/>
      <c r="L49" s="707" t="s">
        <v>383</v>
      </c>
      <c r="M49" s="708" t="s">
        <v>267</v>
      </c>
      <c r="N49" s="708"/>
      <c r="O49" s="168"/>
      <c r="P49" s="168"/>
      <c r="Q49" s="168"/>
      <c r="R49" s="168"/>
      <c r="S49" s="168"/>
      <c r="T49" s="168"/>
      <c r="U49" s="168"/>
      <c r="V49" s="168"/>
      <c r="W49" s="168"/>
      <c r="X49" s="173"/>
      <c r="Y49" s="154"/>
      <c r="Z49" s="147"/>
      <c r="AA49" s="147"/>
      <c r="AB49" s="148"/>
      <c r="AC49" s="154"/>
      <c r="AD49" s="147"/>
      <c r="AE49" s="147"/>
      <c r="AF49" s="148"/>
      <c r="AI49" s="109" t="str">
        <f>"78:field183:" &amp; IF(I49="■",1,IF(L49="■",2,0))</f>
        <v>78:field183:0</v>
      </c>
    </row>
    <row r="50" spans="1:35" ht="18.75" customHeight="1" x14ac:dyDescent="0.2">
      <c r="A50" s="139"/>
      <c r="B50" s="123"/>
      <c r="C50" s="237"/>
      <c r="D50" s="142"/>
      <c r="E50" s="128"/>
      <c r="F50" s="142"/>
      <c r="G50" s="270"/>
      <c r="H50" s="693"/>
      <c r="I50" s="696"/>
      <c r="J50" s="698"/>
      <c r="K50" s="698"/>
      <c r="L50" s="696"/>
      <c r="M50" s="698"/>
      <c r="N50" s="698"/>
      <c r="O50" s="169"/>
      <c r="P50" s="169"/>
      <c r="Q50" s="169"/>
      <c r="R50" s="169"/>
      <c r="S50" s="169"/>
      <c r="T50" s="169"/>
      <c r="U50" s="169"/>
      <c r="V50" s="169"/>
      <c r="W50" s="169"/>
      <c r="X50" s="170"/>
      <c r="Y50" s="154"/>
      <c r="Z50" s="147"/>
      <c r="AA50" s="147"/>
      <c r="AB50" s="148"/>
      <c r="AC50" s="154"/>
      <c r="AD50" s="147"/>
      <c r="AE50" s="147"/>
      <c r="AF50" s="148"/>
    </row>
    <row r="51" spans="1:35" ht="18.75" customHeight="1" x14ac:dyDescent="0.2">
      <c r="A51" s="139"/>
      <c r="B51" s="123"/>
      <c r="C51" s="237"/>
      <c r="D51" s="142"/>
      <c r="E51" s="128"/>
      <c r="F51" s="142"/>
      <c r="G51" s="270"/>
      <c r="H51" s="694" t="s">
        <v>162</v>
      </c>
      <c r="I51" s="707" t="s">
        <v>383</v>
      </c>
      <c r="J51" s="708" t="s">
        <v>250</v>
      </c>
      <c r="K51" s="708"/>
      <c r="L51" s="707" t="s">
        <v>383</v>
      </c>
      <c r="M51" s="708" t="s">
        <v>267</v>
      </c>
      <c r="N51" s="708"/>
      <c r="O51" s="168"/>
      <c r="P51" s="168"/>
      <c r="Q51" s="168"/>
      <c r="R51" s="168"/>
      <c r="S51" s="168"/>
      <c r="T51" s="168"/>
      <c r="U51" s="168"/>
      <c r="V51" s="168"/>
      <c r="W51" s="168"/>
      <c r="X51" s="173"/>
      <c r="Y51" s="154"/>
      <c r="Z51" s="147"/>
      <c r="AA51" s="147"/>
      <c r="AB51" s="148"/>
      <c r="AC51" s="154"/>
      <c r="AD51" s="147"/>
      <c r="AE51" s="147"/>
      <c r="AF51" s="148"/>
      <c r="AI51" s="109" t="str">
        <f>"78:field184:" &amp; IF(I51="■",1,IF(L51="■",2,0))</f>
        <v>78:field184:0</v>
      </c>
    </row>
    <row r="52" spans="1:35" ht="18.75" customHeight="1" x14ac:dyDescent="0.2">
      <c r="A52" s="139"/>
      <c r="B52" s="123"/>
      <c r="C52" s="237"/>
      <c r="D52" s="142"/>
      <c r="E52" s="128"/>
      <c r="F52" s="142"/>
      <c r="G52" s="270"/>
      <c r="H52" s="693"/>
      <c r="I52" s="696"/>
      <c r="J52" s="698"/>
      <c r="K52" s="698"/>
      <c r="L52" s="696"/>
      <c r="M52" s="698"/>
      <c r="N52" s="698"/>
      <c r="O52" s="169"/>
      <c r="P52" s="169"/>
      <c r="Q52" s="169"/>
      <c r="R52" s="169"/>
      <c r="S52" s="169"/>
      <c r="T52" s="169"/>
      <c r="U52" s="169"/>
      <c r="V52" s="169"/>
      <c r="W52" s="169"/>
      <c r="X52" s="170"/>
      <c r="Y52" s="154"/>
      <c r="Z52" s="147"/>
      <c r="AA52" s="147"/>
      <c r="AB52" s="148"/>
      <c r="AC52" s="154"/>
      <c r="AD52" s="147"/>
      <c r="AE52" s="147"/>
      <c r="AF52" s="148"/>
    </row>
    <row r="53" spans="1:35" ht="18.75" customHeight="1" x14ac:dyDescent="0.2">
      <c r="A53" s="125" t="s">
        <v>383</v>
      </c>
      <c r="B53" s="123">
        <v>78</v>
      </c>
      <c r="C53" s="237" t="s">
        <v>532</v>
      </c>
      <c r="D53" s="125" t="s">
        <v>383</v>
      </c>
      <c r="E53" s="128" t="s">
        <v>533</v>
      </c>
      <c r="F53" s="142"/>
      <c r="G53" s="270"/>
      <c r="H53" s="242" t="s">
        <v>148</v>
      </c>
      <c r="I53" s="156" t="s">
        <v>383</v>
      </c>
      <c r="J53" s="157" t="s">
        <v>250</v>
      </c>
      <c r="K53" s="158"/>
      <c r="L53" s="160" t="s">
        <v>383</v>
      </c>
      <c r="M53" s="157" t="s">
        <v>267</v>
      </c>
      <c r="N53" s="207"/>
      <c r="O53" s="207"/>
      <c r="P53" s="207"/>
      <c r="Q53" s="207"/>
      <c r="R53" s="207"/>
      <c r="S53" s="207"/>
      <c r="T53" s="207"/>
      <c r="U53" s="207"/>
      <c r="V53" s="207"/>
      <c r="W53" s="207"/>
      <c r="X53" s="208"/>
      <c r="Y53" s="154"/>
      <c r="Z53" s="147"/>
      <c r="AA53" s="147"/>
      <c r="AB53" s="148"/>
      <c r="AC53" s="154"/>
      <c r="AD53" s="147"/>
      <c r="AE53" s="147"/>
      <c r="AF53" s="148"/>
      <c r="AI53" s="109" t="str">
        <f>"78:field151:" &amp; IF(I53="■",1,IF(L53="■",2,0))</f>
        <v>78:field151:0</v>
      </c>
    </row>
    <row r="54" spans="1:35" ht="18.75" customHeight="1" x14ac:dyDescent="0.2">
      <c r="A54" s="139"/>
      <c r="B54" s="123"/>
      <c r="C54" s="237"/>
      <c r="D54" s="125" t="s">
        <v>383</v>
      </c>
      <c r="E54" s="128" t="s">
        <v>534</v>
      </c>
      <c r="F54" s="142"/>
      <c r="G54" s="270"/>
      <c r="H54" s="164" t="s">
        <v>230</v>
      </c>
      <c r="I54" s="118" t="s">
        <v>383</v>
      </c>
      <c r="J54" s="169" t="s">
        <v>250</v>
      </c>
      <c r="K54" s="169"/>
      <c r="L54" s="160" t="s">
        <v>383</v>
      </c>
      <c r="M54" s="169" t="s">
        <v>251</v>
      </c>
      <c r="N54" s="157"/>
      <c r="O54" s="118" t="s">
        <v>383</v>
      </c>
      <c r="P54" s="157" t="s">
        <v>252</v>
      </c>
      <c r="Q54" s="207"/>
      <c r="R54" s="207"/>
      <c r="S54" s="207"/>
      <c r="T54" s="207"/>
      <c r="U54" s="207"/>
      <c r="V54" s="207"/>
      <c r="W54" s="207"/>
      <c r="X54" s="208"/>
      <c r="Y54" s="154"/>
      <c r="Z54" s="147"/>
      <c r="AA54" s="147"/>
      <c r="AB54" s="148"/>
      <c r="AC54" s="154"/>
      <c r="AD54" s="147"/>
      <c r="AE54" s="147"/>
      <c r="AF54" s="148"/>
      <c r="AI54" s="109" t="str">
        <f>"78:nyukai_code:" &amp; IF(I54="■",1,IF(O54="■",3,IF(L54="■",2,0)))</f>
        <v>78:nyukai_code:0</v>
      </c>
    </row>
    <row r="55" spans="1:35" ht="18.75" customHeight="1" x14ac:dyDescent="0.2">
      <c r="A55" s="139"/>
      <c r="B55" s="123"/>
      <c r="C55" s="237"/>
      <c r="D55" s="125" t="s">
        <v>383</v>
      </c>
      <c r="E55" s="128" t="s">
        <v>535</v>
      </c>
      <c r="F55" s="142"/>
      <c r="G55" s="270"/>
      <c r="H55" s="164" t="s">
        <v>188</v>
      </c>
      <c r="I55" s="175" t="s">
        <v>383</v>
      </c>
      <c r="J55" s="157" t="s">
        <v>250</v>
      </c>
      <c r="K55" s="158"/>
      <c r="L55" s="118" t="s">
        <v>383</v>
      </c>
      <c r="M55" s="157" t="s">
        <v>267</v>
      </c>
      <c r="N55" s="207"/>
      <c r="O55" s="207"/>
      <c r="P55" s="207"/>
      <c r="Q55" s="207"/>
      <c r="R55" s="207"/>
      <c r="S55" s="207"/>
      <c r="T55" s="207"/>
      <c r="U55" s="207"/>
      <c r="V55" s="207"/>
      <c r="W55" s="207"/>
      <c r="X55" s="208"/>
      <c r="Y55" s="154"/>
      <c r="Z55" s="147"/>
      <c r="AA55" s="147"/>
      <c r="AB55" s="148"/>
      <c r="AC55" s="154"/>
      <c r="AD55" s="147"/>
      <c r="AE55" s="147"/>
      <c r="AF55" s="148"/>
      <c r="AI55" s="109" t="str">
        <f>"78:field153:" &amp; IF(I55="■",1,IF(L55="■",2,0))</f>
        <v>78:field153:0</v>
      </c>
    </row>
    <row r="56" spans="1:35" ht="18.75" customHeight="1" x14ac:dyDescent="0.2">
      <c r="A56" s="139"/>
      <c r="B56" s="123"/>
      <c r="C56" s="237"/>
      <c r="D56" s="142"/>
      <c r="E56" s="128"/>
      <c r="F56" s="142"/>
      <c r="G56" s="270"/>
      <c r="H56" s="242" t="s">
        <v>536</v>
      </c>
      <c r="I56" s="175" t="s">
        <v>383</v>
      </c>
      <c r="J56" s="157" t="s">
        <v>250</v>
      </c>
      <c r="K56" s="158"/>
      <c r="L56" s="160" t="s">
        <v>383</v>
      </c>
      <c r="M56" s="157" t="s">
        <v>267</v>
      </c>
      <c r="N56" s="207"/>
      <c r="O56" s="207"/>
      <c r="P56" s="207"/>
      <c r="Q56" s="207"/>
      <c r="R56" s="207"/>
      <c r="S56" s="207"/>
      <c r="T56" s="207"/>
      <c r="U56" s="207"/>
      <c r="V56" s="207"/>
      <c r="W56" s="207"/>
      <c r="X56" s="208"/>
      <c r="Y56" s="154"/>
      <c r="Z56" s="126"/>
      <c r="AA56" s="147"/>
      <c r="AB56" s="148"/>
      <c r="AC56" s="154"/>
      <c r="AD56" s="126"/>
      <c r="AE56" s="147"/>
      <c r="AF56" s="148"/>
      <c r="AI56" s="109" t="str">
        <f>"78:field229:" &amp; IF(I56="■",1,IF(L56="■",2,0))</f>
        <v>78:field229:0</v>
      </c>
    </row>
    <row r="57" spans="1:35" ht="18.75" customHeight="1" x14ac:dyDescent="0.2">
      <c r="A57" s="139"/>
      <c r="B57" s="123"/>
      <c r="C57" s="237"/>
      <c r="D57" s="142"/>
      <c r="E57" s="128"/>
      <c r="F57" s="142"/>
      <c r="G57" s="270"/>
      <c r="H57" s="164" t="s">
        <v>183</v>
      </c>
      <c r="I57" s="175" t="s">
        <v>383</v>
      </c>
      <c r="J57" s="157" t="s">
        <v>250</v>
      </c>
      <c r="K57" s="157"/>
      <c r="L57" s="206" t="s">
        <v>383</v>
      </c>
      <c r="M57" s="157" t="s">
        <v>268</v>
      </c>
      <c r="N57" s="157"/>
      <c r="O57" s="118" t="s">
        <v>383</v>
      </c>
      <c r="P57" s="157" t="s">
        <v>269</v>
      </c>
      <c r="Q57" s="207"/>
      <c r="R57" s="207"/>
      <c r="S57" s="207"/>
      <c r="T57" s="207"/>
      <c r="U57" s="207"/>
      <c r="V57" s="207"/>
      <c r="W57" s="207"/>
      <c r="X57" s="208"/>
      <c r="Y57" s="154"/>
      <c r="Z57" s="147"/>
      <c r="AA57" s="147"/>
      <c r="AB57" s="148"/>
      <c r="AC57" s="154"/>
      <c r="AD57" s="147"/>
      <c r="AE57" s="147"/>
      <c r="AF57" s="148"/>
      <c r="AI57" s="109" t="str">
        <f>"78:field185:" &amp; IF(I57="■",1,IF(L57="■",3,IF(O57="■",2,0)))</f>
        <v>78:field185:0</v>
      </c>
    </row>
    <row r="58" spans="1:35" ht="18.75" customHeight="1" x14ac:dyDescent="0.2">
      <c r="A58" s="139"/>
      <c r="B58" s="123"/>
      <c r="C58" s="237"/>
      <c r="D58" s="142"/>
      <c r="E58" s="128"/>
      <c r="F58" s="142"/>
      <c r="G58" s="270"/>
      <c r="H58" s="164" t="s">
        <v>204</v>
      </c>
      <c r="I58" s="175" t="s">
        <v>383</v>
      </c>
      <c r="J58" s="157" t="s">
        <v>250</v>
      </c>
      <c r="K58" s="157"/>
      <c r="L58" s="206" t="s">
        <v>383</v>
      </c>
      <c r="M58" s="157" t="s">
        <v>284</v>
      </c>
      <c r="N58" s="240"/>
      <c r="O58" s="240"/>
      <c r="P58" s="118" t="s">
        <v>383</v>
      </c>
      <c r="Q58" s="157" t="s">
        <v>285</v>
      </c>
      <c r="R58" s="240"/>
      <c r="S58" s="240"/>
      <c r="T58" s="240"/>
      <c r="U58" s="240"/>
      <c r="V58" s="240"/>
      <c r="W58" s="240"/>
      <c r="X58" s="241"/>
      <c r="Y58" s="154"/>
      <c r="Z58" s="147"/>
      <c r="AA58" s="147"/>
      <c r="AB58" s="148"/>
      <c r="AC58" s="154"/>
      <c r="AD58" s="147"/>
      <c r="AE58" s="147"/>
      <c r="AF58" s="148"/>
      <c r="AI58" s="109" t="str">
        <f>"78:field205:" &amp; IF(I58="■",1,IF(P58="■",3,IF(L58="■",2,0)))</f>
        <v>78:field205:0</v>
      </c>
    </row>
    <row r="59" spans="1:35" ht="18.75" customHeight="1" x14ac:dyDescent="0.2">
      <c r="A59" s="139"/>
      <c r="B59" s="123"/>
      <c r="C59" s="237"/>
      <c r="D59" s="142"/>
      <c r="E59" s="128"/>
      <c r="F59" s="142"/>
      <c r="G59" s="270"/>
      <c r="H59" s="245" t="s">
        <v>189</v>
      </c>
      <c r="I59" s="175" t="s">
        <v>383</v>
      </c>
      <c r="J59" s="157" t="s">
        <v>250</v>
      </c>
      <c r="K59" s="158"/>
      <c r="L59" s="160" t="s">
        <v>383</v>
      </c>
      <c r="M59" s="157" t="s">
        <v>267</v>
      </c>
      <c r="N59" s="207"/>
      <c r="O59" s="207"/>
      <c r="P59" s="207"/>
      <c r="Q59" s="207"/>
      <c r="R59" s="207"/>
      <c r="S59" s="207"/>
      <c r="T59" s="207"/>
      <c r="U59" s="207"/>
      <c r="V59" s="207"/>
      <c r="W59" s="207"/>
      <c r="X59" s="208"/>
      <c r="Y59" s="154"/>
      <c r="Z59" s="147"/>
      <c r="AA59" s="147"/>
      <c r="AB59" s="148"/>
      <c r="AC59" s="154"/>
      <c r="AD59" s="147"/>
      <c r="AE59" s="147"/>
      <c r="AF59" s="148"/>
      <c r="AI59" s="109" t="str">
        <f>"78:field186:" &amp; IF(I59="■",1,IF(L59="■",2,0))</f>
        <v>78:field186:0</v>
      </c>
    </row>
    <row r="60" spans="1:35" ht="18.75" customHeight="1" x14ac:dyDescent="0.2">
      <c r="A60" s="139"/>
      <c r="B60" s="123"/>
      <c r="C60" s="237"/>
      <c r="D60" s="142"/>
      <c r="E60" s="128"/>
      <c r="F60" s="142"/>
      <c r="G60" s="270"/>
      <c r="H60" s="242" t="s">
        <v>129</v>
      </c>
      <c r="I60" s="175" t="s">
        <v>383</v>
      </c>
      <c r="J60" s="157" t="s">
        <v>250</v>
      </c>
      <c r="K60" s="158"/>
      <c r="L60" s="118" t="s">
        <v>383</v>
      </c>
      <c r="M60" s="157" t="s">
        <v>267</v>
      </c>
      <c r="N60" s="207"/>
      <c r="O60" s="207"/>
      <c r="P60" s="207"/>
      <c r="Q60" s="207"/>
      <c r="R60" s="207"/>
      <c r="S60" s="207"/>
      <c r="T60" s="207"/>
      <c r="U60" s="207"/>
      <c r="V60" s="207"/>
      <c r="W60" s="207"/>
      <c r="X60" s="208"/>
      <c r="Y60" s="154"/>
      <c r="Z60" s="147"/>
      <c r="AA60" s="147"/>
      <c r="AB60" s="148"/>
      <c r="AC60" s="154"/>
      <c r="AD60" s="147"/>
      <c r="AE60" s="147"/>
      <c r="AF60" s="148"/>
      <c r="AI60" s="109" t="str">
        <f>"78:field167:" &amp; IF(I60="■",1,IF(L60="■",2,0))</f>
        <v>78:field167:0</v>
      </c>
    </row>
    <row r="61" spans="1:35" ht="18.75" customHeight="1" x14ac:dyDescent="0.2">
      <c r="A61" s="139"/>
      <c r="B61" s="123"/>
      <c r="C61" s="237"/>
      <c r="D61" s="142"/>
      <c r="E61" s="128"/>
      <c r="F61" s="142"/>
      <c r="G61" s="270"/>
      <c r="H61" s="245" t="s">
        <v>110</v>
      </c>
      <c r="I61" s="156" t="s">
        <v>383</v>
      </c>
      <c r="J61" s="157" t="s">
        <v>250</v>
      </c>
      <c r="K61" s="158"/>
      <c r="L61" s="160" t="s">
        <v>383</v>
      </c>
      <c r="M61" s="157" t="s">
        <v>267</v>
      </c>
      <c r="N61" s="207"/>
      <c r="O61" s="207"/>
      <c r="P61" s="207"/>
      <c r="Q61" s="207"/>
      <c r="R61" s="207"/>
      <c r="S61" s="207"/>
      <c r="T61" s="207"/>
      <c r="U61" s="207"/>
      <c r="V61" s="207"/>
      <c r="W61" s="207"/>
      <c r="X61" s="208"/>
      <c r="Y61" s="154"/>
      <c r="Z61" s="147"/>
      <c r="AA61" s="147"/>
      <c r="AB61" s="148"/>
      <c r="AC61" s="154"/>
      <c r="AD61" s="147"/>
      <c r="AE61" s="147"/>
      <c r="AF61" s="148"/>
      <c r="AI61" s="109" t="str">
        <f>"78:jyakuninti_uke_code:" &amp; IF(I61="■",1,IF(L61="■",2,0))</f>
        <v>78:jyakuninti_uke_code:0</v>
      </c>
    </row>
    <row r="62" spans="1:35" ht="18.75" customHeight="1" x14ac:dyDescent="0.2">
      <c r="A62" s="139"/>
      <c r="B62" s="123"/>
      <c r="C62" s="237"/>
      <c r="D62" s="142"/>
      <c r="E62" s="128"/>
      <c r="F62" s="142"/>
      <c r="G62" s="270"/>
      <c r="H62" s="204" t="s">
        <v>236</v>
      </c>
      <c r="I62" s="160" t="s">
        <v>383</v>
      </c>
      <c r="J62" s="157" t="s">
        <v>250</v>
      </c>
      <c r="K62" s="158"/>
      <c r="L62" s="203" t="s">
        <v>383</v>
      </c>
      <c r="M62" s="157" t="s">
        <v>267</v>
      </c>
      <c r="N62" s="207"/>
      <c r="O62" s="207"/>
      <c r="P62" s="207"/>
      <c r="Q62" s="207"/>
      <c r="R62" s="207"/>
      <c r="S62" s="207"/>
      <c r="T62" s="207"/>
      <c r="U62" s="207"/>
      <c r="V62" s="207"/>
      <c r="W62" s="207"/>
      <c r="X62" s="208"/>
      <c r="Y62" s="154"/>
      <c r="Z62" s="147"/>
      <c r="AA62" s="147"/>
      <c r="AB62" s="148"/>
      <c r="AC62" s="154"/>
      <c r="AD62" s="147"/>
      <c r="AE62" s="147"/>
      <c r="AF62" s="148"/>
      <c r="AI62" s="109" t="str">
        <f>"78:eiyomana_code:" &amp; IF(I62="■",1,IF(L62="■",2,0))</f>
        <v>78:eiyomana_code:0</v>
      </c>
    </row>
    <row r="63" spans="1:35" ht="18.75" customHeight="1" x14ac:dyDescent="0.2">
      <c r="A63" s="139"/>
      <c r="B63" s="123"/>
      <c r="C63" s="237"/>
      <c r="D63" s="142"/>
      <c r="E63" s="128"/>
      <c r="F63" s="142"/>
      <c r="G63" s="270"/>
      <c r="H63" s="164" t="s">
        <v>205</v>
      </c>
      <c r="I63" s="156" t="s">
        <v>383</v>
      </c>
      <c r="J63" s="157" t="s">
        <v>250</v>
      </c>
      <c r="K63" s="158"/>
      <c r="L63" s="203" t="s">
        <v>383</v>
      </c>
      <c r="M63" s="157" t="s">
        <v>267</v>
      </c>
      <c r="N63" s="207"/>
      <c r="O63" s="207"/>
      <c r="P63" s="207"/>
      <c r="Q63" s="207"/>
      <c r="R63" s="207"/>
      <c r="S63" s="207"/>
      <c r="T63" s="207"/>
      <c r="U63" s="207"/>
      <c r="V63" s="207"/>
      <c r="W63" s="207"/>
      <c r="X63" s="208"/>
      <c r="Y63" s="154"/>
      <c r="Z63" s="147"/>
      <c r="AA63" s="147"/>
      <c r="AB63" s="148"/>
      <c r="AC63" s="154"/>
      <c r="AD63" s="147"/>
      <c r="AE63" s="147"/>
      <c r="AF63" s="148"/>
      <c r="AI63" s="109" t="str">
        <f>"78:koukoukino_code:" &amp; IF(I63="■",1,IF(L63="■",2,0))</f>
        <v>78:koukoukino_code:0</v>
      </c>
    </row>
    <row r="64" spans="1:35" ht="18.75" customHeight="1" x14ac:dyDescent="0.2">
      <c r="A64" s="139"/>
      <c r="B64" s="123"/>
      <c r="C64" s="237"/>
      <c r="D64" s="142"/>
      <c r="E64" s="128"/>
      <c r="F64" s="142"/>
      <c r="G64" s="270"/>
      <c r="H64" s="164" t="s">
        <v>197</v>
      </c>
      <c r="I64" s="118" t="s">
        <v>383</v>
      </c>
      <c r="J64" s="157" t="s">
        <v>250</v>
      </c>
      <c r="K64" s="158"/>
      <c r="L64" s="203" t="s">
        <v>383</v>
      </c>
      <c r="M64" s="157" t="s">
        <v>267</v>
      </c>
      <c r="N64" s="207"/>
      <c r="O64" s="207"/>
      <c r="P64" s="207"/>
      <c r="Q64" s="207"/>
      <c r="R64" s="207"/>
      <c r="S64" s="207"/>
      <c r="T64" s="207"/>
      <c r="U64" s="207"/>
      <c r="V64" s="207"/>
      <c r="W64" s="207"/>
      <c r="X64" s="208"/>
      <c r="Y64" s="154"/>
      <c r="Z64" s="147"/>
      <c r="AA64" s="147"/>
      <c r="AB64" s="148"/>
      <c r="AC64" s="154"/>
      <c r="AD64" s="147"/>
      <c r="AE64" s="147"/>
      <c r="AF64" s="148"/>
      <c r="AI64" s="109" t="str">
        <f>"78:field212:" &amp; IF(I64="■",1,IF(L64="■",2,0))</f>
        <v>78:field212:0</v>
      </c>
    </row>
    <row r="65" spans="1:37" ht="18.75" customHeight="1" x14ac:dyDescent="0.2">
      <c r="A65" s="139"/>
      <c r="B65" s="123"/>
      <c r="C65" s="237"/>
      <c r="D65" s="142"/>
      <c r="E65" s="128"/>
      <c r="F65" s="142"/>
      <c r="G65" s="270"/>
      <c r="H65" s="843" t="s">
        <v>118</v>
      </c>
      <c r="I65" s="175" t="s">
        <v>383</v>
      </c>
      <c r="J65" s="168" t="s">
        <v>250</v>
      </c>
      <c r="K65" s="172"/>
      <c r="L65" s="206" t="s">
        <v>383</v>
      </c>
      <c r="M65" s="168" t="s">
        <v>525</v>
      </c>
      <c r="N65" s="172"/>
      <c r="O65" s="172"/>
      <c r="P65" s="172"/>
      <c r="Q65" s="172"/>
      <c r="R65" s="206" t="s">
        <v>383</v>
      </c>
      <c r="S65" s="168" t="s">
        <v>537</v>
      </c>
      <c r="T65" s="168"/>
      <c r="U65" s="172"/>
      <c r="V65" s="172"/>
      <c r="W65" s="172"/>
      <c r="X65" s="209"/>
      <c r="Y65" s="154"/>
      <c r="Z65" s="147"/>
      <c r="AA65" s="147"/>
      <c r="AB65" s="148"/>
      <c r="AC65" s="154"/>
      <c r="AD65" s="147"/>
      <c r="AE65" s="147"/>
      <c r="AF65" s="148"/>
      <c r="AI65" s="109" t="str">
        <f>"78:serteikyo_kyoka_code:" &amp; IF(I65="■",1,IF(L65="■",6,IF(R65="■",5,IF(I66="■",7,IF(O66="■",8,IF(U66="■",9,IF(I67="■",4,IF(O67="■","A",0))))))))</f>
        <v>78:serteikyo_kyoka_code:0</v>
      </c>
    </row>
    <row r="66" spans="1:37" ht="18.75" customHeight="1" x14ac:dyDescent="0.2">
      <c r="A66" s="139"/>
      <c r="B66" s="123"/>
      <c r="C66" s="237"/>
      <c r="D66" s="142"/>
      <c r="E66" s="128"/>
      <c r="F66" s="142"/>
      <c r="G66" s="270"/>
      <c r="H66" s="844"/>
      <c r="I66" s="125" t="s">
        <v>383</v>
      </c>
      <c r="J66" s="108" t="s">
        <v>527</v>
      </c>
      <c r="K66" s="145"/>
      <c r="L66" s="145"/>
      <c r="M66" s="145"/>
      <c r="N66" s="145"/>
      <c r="O66" s="118" t="s">
        <v>383</v>
      </c>
      <c r="P66" s="315" t="s">
        <v>538</v>
      </c>
      <c r="Q66" s="145"/>
      <c r="R66" s="145"/>
      <c r="S66" s="145"/>
      <c r="T66" s="145"/>
      <c r="U66" s="118" t="s">
        <v>383</v>
      </c>
      <c r="V66" s="315" t="s">
        <v>539</v>
      </c>
      <c r="W66" s="145"/>
      <c r="X66" s="146"/>
      <c r="Y66" s="145"/>
      <c r="Z66" s="147"/>
      <c r="AA66" s="147"/>
      <c r="AB66" s="148"/>
      <c r="AC66" s="154"/>
      <c r="AD66" s="147"/>
      <c r="AE66" s="147"/>
      <c r="AF66" s="148"/>
    </row>
    <row r="67" spans="1:37" ht="18.75" customHeight="1" x14ac:dyDescent="0.2">
      <c r="A67" s="139"/>
      <c r="B67" s="123"/>
      <c r="C67" s="237"/>
      <c r="D67" s="142"/>
      <c r="E67" s="128"/>
      <c r="F67" s="142"/>
      <c r="G67" s="270"/>
      <c r="H67" s="845"/>
      <c r="I67" s="125" t="s">
        <v>383</v>
      </c>
      <c r="J67" s="108" t="s">
        <v>540</v>
      </c>
      <c r="K67" s="152"/>
      <c r="L67" s="152"/>
      <c r="M67" s="152"/>
      <c r="N67" s="152"/>
      <c r="O67" s="118" t="s">
        <v>383</v>
      </c>
      <c r="P67" s="108" t="s">
        <v>541</v>
      </c>
      <c r="Q67" s="152"/>
      <c r="R67" s="152"/>
      <c r="S67" s="152"/>
      <c r="T67" s="152"/>
      <c r="U67" s="152"/>
      <c r="V67" s="152"/>
      <c r="W67" s="152"/>
      <c r="X67" s="153"/>
      <c r="Y67" s="154"/>
      <c r="Z67" s="147"/>
      <c r="AA67" s="147"/>
      <c r="AB67" s="148"/>
      <c r="AC67" s="154"/>
      <c r="AD67" s="147"/>
      <c r="AE67" s="147"/>
      <c r="AF67" s="148"/>
    </row>
    <row r="68" spans="1:37" s="621" customFormat="1" ht="18.75" customHeight="1" x14ac:dyDescent="0.2">
      <c r="A68" s="139"/>
      <c r="B68" s="670"/>
      <c r="C68" s="140"/>
      <c r="D68" s="141"/>
      <c r="E68" s="128"/>
      <c r="F68" s="142"/>
      <c r="G68" s="143"/>
      <c r="H68" s="713" t="s">
        <v>790</v>
      </c>
      <c r="I68" s="642" t="s">
        <v>383</v>
      </c>
      <c r="J68" s="616" t="s">
        <v>627</v>
      </c>
      <c r="K68" s="616"/>
      <c r="L68" s="615"/>
      <c r="M68" s="644" t="s">
        <v>383</v>
      </c>
      <c r="N68" s="616" t="s">
        <v>791</v>
      </c>
      <c r="O68" s="617"/>
      <c r="P68" s="615"/>
      <c r="Q68" s="644" t="s">
        <v>383</v>
      </c>
      <c r="R68" s="618" t="s">
        <v>792</v>
      </c>
      <c r="S68" s="615"/>
      <c r="T68" s="615"/>
      <c r="U68" s="615"/>
      <c r="V68" s="618"/>
      <c r="W68" s="619"/>
      <c r="X68" s="620"/>
      <c r="Y68" s="154"/>
      <c r="Z68" s="147"/>
      <c r="AA68" s="147"/>
      <c r="AB68" s="148"/>
      <c r="AC68" s="154"/>
      <c r="AD68" s="147"/>
      <c r="AE68" s="147"/>
      <c r="AF68" s="148"/>
    </row>
    <row r="69" spans="1:37" s="621" customFormat="1" ht="18.75" customHeight="1" x14ac:dyDescent="0.2">
      <c r="A69" s="183"/>
      <c r="B69" s="658"/>
      <c r="C69" s="185"/>
      <c r="D69" s="186"/>
      <c r="E69" s="187"/>
      <c r="F69" s="188"/>
      <c r="G69" s="189"/>
      <c r="H69" s="714"/>
      <c r="I69" s="643" t="s">
        <v>383</v>
      </c>
      <c r="J69" s="623" t="s">
        <v>793</v>
      </c>
      <c r="K69" s="623"/>
      <c r="L69" s="622"/>
      <c r="M69" s="211" t="s">
        <v>383</v>
      </c>
      <c r="N69" s="623" t="s">
        <v>794</v>
      </c>
      <c r="O69" s="624"/>
      <c r="P69" s="622"/>
      <c r="Q69" s="211" t="s">
        <v>383</v>
      </c>
      <c r="R69" s="623" t="s">
        <v>795</v>
      </c>
      <c r="S69" s="622"/>
      <c r="T69" s="623"/>
      <c r="U69" s="211" t="s">
        <v>383</v>
      </c>
      <c r="V69" s="623" t="s">
        <v>796</v>
      </c>
      <c r="W69" s="625"/>
      <c r="X69" s="626"/>
      <c r="Y69" s="194"/>
      <c r="Z69" s="147"/>
      <c r="AA69" s="147"/>
      <c r="AB69" s="148"/>
      <c r="AC69" s="194"/>
      <c r="AD69" s="147"/>
      <c r="AE69" s="147"/>
      <c r="AF69" s="148"/>
    </row>
    <row r="70" spans="1:37" ht="18.75" customHeight="1" x14ac:dyDescent="0.2">
      <c r="A70" s="129"/>
      <c r="B70" s="116"/>
      <c r="C70" s="233"/>
      <c r="D70" s="132"/>
      <c r="E70" s="121"/>
      <c r="F70" s="132"/>
      <c r="G70" s="136"/>
      <c r="H70" s="559" t="s">
        <v>93</v>
      </c>
      <c r="I70" s="367" t="s">
        <v>383</v>
      </c>
      <c r="J70" s="368" t="s">
        <v>250</v>
      </c>
      <c r="K70" s="368"/>
      <c r="L70" s="370"/>
      <c r="M70" s="371" t="s">
        <v>383</v>
      </c>
      <c r="N70" s="368" t="s">
        <v>281</v>
      </c>
      <c r="O70" s="368"/>
      <c r="P70" s="370"/>
      <c r="Q70" s="371" t="s">
        <v>383</v>
      </c>
      <c r="R70" s="457" t="s">
        <v>282</v>
      </c>
      <c r="S70" s="457"/>
      <c r="T70" s="457"/>
      <c r="U70" s="457"/>
      <c r="V70" s="457"/>
      <c r="W70" s="457"/>
      <c r="X70" s="560"/>
      <c r="Y70" s="134" t="s">
        <v>383</v>
      </c>
      <c r="Z70" s="119" t="s">
        <v>249</v>
      </c>
      <c r="AA70" s="119"/>
      <c r="AB70" s="137"/>
      <c r="AC70" s="134" t="s">
        <v>383</v>
      </c>
      <c r="AD70" s="119" t="s">
        <v>249</v>
      </c>
      <c r="AE70" s="119"/>
      <c r="AF70" s="137"/>
      <c r="AG70" s="109" t="str">
        <f>"ser_code = '" &amp; IF(A78="■",72,"") &amp; "'"</f>
        <v>ser_code = ''</v>
      </c>
      <c r="AH70" s="109"/>
      <c r="AI70" s="109" t="str">
        <f>"72:"&amp;IF(AND(I70="□",M70="□",Q70="□"),"ketu_kangos_code:0",IF(I70="■","ketu_kangos_code:1:ketu_kshoku_code:1",IF(M70="■","ketu_kangos_code:2","ketu_kangos_code:1")&amp;IF(Q70="■",":ketu_kshoku_code:2",":ketu_kshoku_code:1")))</f>
        <v>72:ketu_kangos_code:0</v>
      </c>
      <c r="AJ70" s="109" t="str">
        <f>"72:field203:" &amp; IF(Y70="■",1,IF(Y71="■",2,0))</f>
        <v>72:field203:0</v>
      </c>
      <c r="AK70" s="109" t="str">
        <f>"72:waribiki_code:" &amp; IF(AC70="■",1,IF(AC71="■",2,0))</f>
        <v>72:waribiki_code:0</v>
      </c>
    </row>
    <row r="71" spans="1:37" ht="19.5" customHeight="1" x14ac:dyDescent="0.2">
      <c r="A71" s="139"/>
      <c r="B71" s="123"/>
      <c r="C71" s="140"/>
      <c r="D71" s="141"/>
      <c r="E71" s="128"/>
      <c r="F71" s="142"/>
      <c r="G71" s="143"/>
      <c r="H71" s="465" t="s">
        <v>430</v>
      </c>
      <c r="I71" s="518" t="s">
        <v>383</v>
      </c>
      <c r="J71" s="381" t="s">
        <v>395</v>
      </c>
      <c r="K71" s="419"/>
      <c r="L71" s="382"/>
      <c r="M71" s="522" t="s">
        <v>383</v>
      </c>
      <c r="N71" s="381" t="s">
        <v>431</v>
      </c>
      <c r="O71" s="525"/>
      <c r="P71" s="381"/>
      <c r="Q71" s="436"/>
      <c r="R71" s="436"/>
      <c r="S71" s="436"/>
      <c r="T71" s="436"/>
      <c r="U71" s="436"/>
      <c r="V71" s="436"/>
      <c r="W71" s="436"/>
      <c r="X71" s="437"/>
      <c r="Y71" s="118" t="s">
        <v>383</v>
      </c>
      <c r="Z71" s="126" t="s">
        <v>255</v>
      </c>
      <c r="AA71" s="147"/>
      <c r="AB71" s="148"/>
      <c r="AC71" s="118" t="s">
        <v>383</v>
      </c>
      <c r="AD71" s="126" t="s">
        <v>255</v>
      </c>
      <c r="AE71" s="147"/>
      <c r="AF71" s="148"/>
      <c r="AG71" s="109" t="str">
        <f>"72:sisetukbn_code:" &amp; IF(D78="■",1,IF(D79="■",2,IF(D80="■",3,0)))</f>
        <v>72:sisetukbn_code:0</v>
      </c>
      <c r="AI71" s="109" t="str">
        <f>"72:field223:" &amp; IF(I71="■",1,IF(M71="■",2,0))</f>
        <v>72:field223:0</v>
      </c>
    </row>
    <row r="72" spans="1:37" ht="19.5" customHeight="1" x14ac:dyDescent="0.2">
      <c r="A72" s="139"/>
      <c r="B72" s="123"/>
      <c r="C72" s="140"/>
      <c r="D72" s="141"/>
      <c r="E72" s="128"/>
      <c r="F72" s="142"/>
      <c r="G72" s="143"/>
      <c r="H72" s="348" t="s">
        <v>448</v>
      </c>
      <c r="I72" s="349" t="s">
        <v>383</v>
      </c>
      <c r="J72" s="350" t="s">
        <v>395</v>
      </c>
      <c r="K72" s="351"/>
      <c r="L72" s="352"/>
      <c r="M72" s="353" t="s">
        <v>383</v>
      </c>
      <c r="N72" s="350" t="s">
        <v>431</v>
      </c>
      <c r="O72" s="354"/>
      <c r="P72" s="350"/>
      <c r="Q72" s="355"/>
      <c r="R72" s="355"/>
      <c r="S72" s="355"/>
      <c r="T72" s="355"/>
      <c r="U72" s="355"/>
      <c r="V72" s="355"/>
      <c r="W72" s="355"/>
      <c r="X72" s="356"/>
      <c r="Y72" s="154"/>
      <c r="Z72" s="147"/>
      <c r="AA72" s="147"/>
      <c r="AB72" s="148"/>
      <c r="AC72" s="154"/>
      <c r="AD72" s="147"/>
      <c r="AE72" s="147"/>
      <c r="AF72" s="148"/>
      <c r="AI72" s="109" t="str">
        <f>"72:field232:" &amp; IF(I72="■",1,IF(M72="■",2,0))</f>
        <v>72:field232:0</v>
      </c>
    </row>
    <row r="73" spans="1:37" ht="18.75" customHeight="1" x14ac:dyDescent="0.2">
      <c r="A73" s="139"/>
      <c r="B73" s="123"/>
      <c r="C73" s="237"/>
      <c r="D73" s="142"/>
      <c r="E73" s="128"/>
      <c r="F73" s="142"/>
      <c r="G73" s="270"/>
      <c r="H73" s="743" t="s">
        <v>223</v>
      </c>
      <c r="I73" s="804" t="s">
        <v>383</v>
      </c>
      <c r="J73" s="796" t="s">
        <v>250</v>
      </c>
      <c r="K73" s="796"/>
      <c r="L73" s="846" t="s">
        <v>383</v>
      </c>
      <c r="M73" s="796" t="s">
        <v>267</v>
      </c>
      <c r="N73" s="796"/>
      <c r="O73" s="523"/>
      <c r="P73" s="523"/>
      <c r="Q73" s="523"/>
      <c r="R73" s="523"/>
      <c r="S73" s="523"/>
      <c r="T73" s="523"/>
      <c r="U73" s="523"/>
      <c r="V73" s="523"/>
      <c r="W73" s="523"/>
      <c r="X73" s="379"/>
      <c r="Y73" s="154"/>
      <c r="Z73" s="147"/>
      <c r="AA73" s="147"/>
      <c r="AB73" s="148"/>
      <c r="AC73" s="154"/>
      <c r="AD73" s="147"/>
      <c r="AE73" s="147"/>
      <c r="AF73" s="148"/>
      <c r="AI73" s="109" t="str">
        <f>"72:field204:" &amp; IF(I73="■",1,IF(L73="■",2,0))</f>
        <v>72:field204:0</v>
      </c>
    </row>
    <row r="74" spans="1:37" ht="18.75" customHeight="1" x14ac:dyDescent="0.2">
      <c r="A74" s="139"/>
      <c r="B74" s="123"/>
      <c r="C74" s="237"/>
      <c r="D74" s="142"/>
      <c r="E74" s="128"/>
      <c r="F74" s="142"/>
      <c r="G74" s="270"/>
      <c r="H74" s="809"/>
      <c r="I74" s="810"/>
      <c r="J74" s="794"/>
      <c r="K74" s="794"/>
      <c r="L74" s="811"/>
      <c r="M74" s="794"/>
      <c r="N74" s="794"/>
      <c r="O74" s="519"/>
      <c r="P74" s="519"/>
      <c r="Q74" s="519"/>
      <c r="R74" s="519"/>
      <c r="S74" s="519"/>
      <c r="T74" s="519"/>
      <c r="U74" s="519"/>
      <c r="V74" s="519"/>
      <c r="W74" s="519"/>
      <c r="X74" s="510"/>
      <c r="Y74" s="154"/>
      <c r="Z74" s="147"/>
      <c r="AA74" s="147"/>
      <c r="AB74" s="148"/>
      <c r="AC74" s="154"/>
      <c r="AD74" s="147"/>
      <c r="AE74" s="147"/>
      <c r="AF74" s="148"/>
    </row>
    <row r="75" spans="1:37" ht="18.75" customHeight="1" x14ac:dyDescent="0.2">
      <c r="A75" s="139"/>
      <c r="B75" s="123"/>
      <c r="C75" s="237"/>
      <c r="D75" s="142"/>
      <c r="E75" s="128"/>
      <c r="F75" s="142"/>
      <c r="G75" s="270"/>
      <c r="H75" s="744"/>
      <c r="I75" s="805"/>
      <c r="J75" s="795"/>
      <c r="K75" s="795"/>
      <c r="L75" s="812"/>
      <c r="M75" s="795"/>
      <c r="N75" s="795"/>
      <c r="O75" s="520"/>
      <c r="P75" s="520"/>
      <c r="Q75" s="520"/>
      <c r="R75" s="520"/>
      <c r="S75" s="520"/>
      <c r="T75" s="520"/>
      <c r="U75" s="520"/>
      <c r="V75" s="520"/>
      <c r="W75" s="520"/>
      <c r="X75" s="385"/>
      <c r="Y75" s="154"/>
      <c r="Z75" s="147"/>
      <c r="AA75" s="147"/>
      <c r="AB75" s="148"/>
      <c r="AC75" s="154"/>
      <c r="AD75" s="147"/>
      <c r="AE75" s="147"/>
      <c r="AF75" s="148"/>
    </row>
    <row r="76" spans="1:37" ht="18.75" customHeight="1" x14ac:dyDescent="0.2">
      <c r="A76" s="139"/>
      <c r="B76" s="123"/>
      <c r="C76" s="237"/>
      <c r="D76" s="142"/>
      <c r="E76" s="128"/>
      <c r="F76" s="142"/>
      <c r="G76" s="270"/>
      <c r="H76" s="508" t="s">
        <v>94</v>
      </c>
      <c r="I76" s="349" t="s">
        <v>383</v>
      </c>
      <c r="J76" s="350" t="s">
        <v>265</v>
      </c>
      <c r="K76" s="351"/>
      <c r="L76" s="352"/>
      <c r="M76" s="353" t="s">
        <v>383</v>
      </c>
      <c r="N76" s="350" t="s">
        <v>266</v>
      </c>
      <c r="O76" s="355"/>
      <c r="P76" s="355"/>
      <c r="Q76" s="355"/>
      <c r="R76" s="355"/>
      <c r="S76" s="355"/>
      <c r="T76" s="355"/>
      <c r="U76" s="355"/>
      <c r="V76" s="355"/>
      <c r="W76" s="355"/>
      <c r="X76" s="356"/>
      <c r="Y76" s="154"/>
      <c r="Z76" s="147"/>
      <c r="AA76" s="147"/>
      <c r="AB76" s="148"/>
      <c r="AC76" s="154"/>
      <c r="AD76" s="147"/>
      <c r="AE76" s="147"/>
      <c r="AF76" s="148"/>
      <c r="AI76" s="109" t="str">
        <f>"72:timeser_code:" &amp; IF(I76="■",1,IF(M76="■",2,0))</f>
        <v>72:timeser_code:0</v>
      </c>
    </row>
    <row r="77" spans="1:37" ht="18.75" customHeight="1" x14ac:dyDescent="0.2">
      <c r="A77" s="139"/>
      <c r="B77" s="123"/>
      <c r="C77" s="237"/>
      <c r="D77" s="142"/>
      <c r="E77" s="128"/>
      <c r="F77" s="142"/>
      <c r="G77" s="270"/>
      <c r="H77" s="461" t="s">
        <v>230</v>
      </c>
      <c r="I77" s="349" t="s">
        <v>383</v>
      </c>
      <c r="J77" s="350" t="s">
        <v>250</v>
      </c>
      <c r="K77" s="350"/>
      <c r="L77" s="353" t="s">
        <v>383</v>
      </c>
      <c r="M77" s="350" t="s">
        <v>251</v>
      </c>
      <c r="N77" s="350"/>
      <c r="O77" s="353" t="s">
        <v>383</v>
      </c>
      <c r="P77" s="350" t="s">
        <v>252</v>
      </c>
      <c r="Q77" s="528"/>
      <c r="R77" s="528"/>
      <c r="S77" s="528"/>
      <c r="T77" s="528"/>
      <c r="U77" s="528"/>
      <c r="V77" s="528"/>
      <c r="W77" s="528"/>
      <c r="X77" s="440"/>
      <c r="Y77" s="154"/>
      <c r="Z77" s="147"/>
      <c r="AA77" s="147"/>
      <c r="AB77" s="148"/>
      <c r="AC77" s="154"/>
      <c r="AD77" s="147"/>
      <c r="AE77" s="147"/>
      <c r="AF77" s="148"/>
      <c r="AI77" s="109" t="str">
        <f>"72:nyukai_code:" &amp; IF(I77="■",1,IF(O77="■",3,IF(L77="■",2,0)))</f>
        <v>72:nyukai_code:0</v>
      </c>
    </row>
    <row r="78" spans="1:37" ht="18.75" customHeight="1" x14ac:dyDescent="0.2">
      <c r="A78" s="125" t="s">
        <v>383</v>
      </c>
      <c r="B78" s="123">
        <v>72</v>
      </c>
      <c r="C78" s="237" t="s">
        <v>542</v>
      </c>
      <c r="D78" s="125" t="s">
        <v>383</v>
      </c>
      <c r="E78" s="128" t="s">
        <v>309</v>
      </c>
      <c r="F78" s="142"/>
      <c r="G78" s="270"/>
      <c r="H78" s="461" t="s">
        <v>183</v>
      </c>
      <c r="I78" s="349" t="s">
        <v>383</v>
      </c>
      <c r="J78" s="350" t="s">
        <v>250</v>
      </c>
      <c r="K78" s="350"/>
      <c r="L78" s="353" t="s">
        <v>383</v>
      </c>
      <c r="M78" s="350" t="s">
        <v>268</v>
      </c>
      <c r="N78" s="350"/>
      <c r="O78" s="353" t="s">
        <v>383</v>
      </c>
      <c r="P78" s="350" t="s">
        <v>269</v>
      </c>
      <c r="Q78" s="528"/>
      <c r="R78" s="528"/>
      <c r="S78" s="528"/>
      <c r="T78" s="528"/>
      <c r="U78" s="528"/>
      <c r="V78" s="528"/>
      <c r="W78" s="528"/>
      <c r="X78" s="440"/>
      <c r="Y78" s="154"/>
      <c r="Z78" s="147"/>
      <c r="AA78" s="147"/>
      <c r="AB78" s="148"/>
      <c r="AC78" s="154"/>
      <c r="AD78" s="147"/>
      <c r="AE78" s="147"/>
      <c r="AF78" s="148"/>
      <c r="AI78" s="109" t="str">
        <f>"72:field185:" &amp; IF(I78="■",1,IF(L78="■",3,IF(O78="■",2,0)))</f>
        <v>72:field185:0</v>
      </c>
    </row>
    <row r="79" spans="1:37" ht="18.75" customHeight="1" x14ac:dyDescent="0.2">
      <c r="A79" s="139"/>
      <c r="B79" s="123"/>
      <c r="C79" s="237"/>
      <c r="D79" s="125" t="s">
        <v>383</v>
      </c>
      <c r="E79" s="128" t="s">
        <v>543</v>
      </c>
      <c r="F79" s="142"/>
      <c r="G79" s="270"/>
      <c r="H79" s="461" t="s">
        <v>234</v>
      </c>
      <c r="I79" s="526" t="s">
        <v>383</v>
      </c>
      <c r="J79" s="350" t="s">
        <v>250</v>
      </c>
      <c r="K79" s="351"/>
      <c r="L79" s="377" t="s">
        <v>383</v>
      </c>
      <c r="M79" s="350" t="s">
        <v>267</v>
      </c>
      <c r="N79" s="528"/>
      <c r="O79" s="528"/>
      <c r="P79" s="528"/>
      <c r="Q79" s="528"/>
      <c r="R79" s="528"/>
      <c r="S79" s="528"/>
      <c r="T79" s="528"/>
      <c r="U79" s="528"/>
      <c r="V79" s="528"/>
      <c r="W79" s="528"/>
      <c r="X79" s="440"/>
      <c r="Y79" s="154"/>
      <c r="Z79" s="147"/>
      <c r="AA79" s="147"/>
      <c r="AB79" s="148"/>
      <c r="AC79" s="154"/>
      <c r="AD79" s="147"/>
      <c r="AE79" s="147"/>
      <c r="AF79" s="148"/>
      <c r="AI79" s="109" t="str">
        <f>"72:kobetu_kunren_code:" &amp; IF(I79="■",1,IF(L79="■",2,0))</f>
        <v>72:kobetu_kunren_code:0</v>
      </c>
    </row>
    <row r="80" spans="1:37" ht="18.75" customHeight="1" x14ac:dyDescent="0.2">
      <c r="A80" s="139"/>
      <c r="B80" s="123"/>
      <c r="C80" s="237"/>
      <c r="D80" s="125" t="s">
        <v>383</v>
      </c>
      <c r="E80" s="128" t="s">
        <v>544</v>
      </c>
      <c r="F80" s="142"/>
      <c r="G80" s="270"/>
      <c r="H80" s="529" t="s">
        <v>545</v>
      </c>
      <c r="I80" s="526" t="s">
        <v>383</v>
      </c>
      <c r="J80" s="350" t="s">
        <v>250</v>
      </c>
      <c r="K80" s="351"/>
      <c r="L80" s="353" t="s">
        <v>383</v>
      </c>
      <c r="M80" s="350" t="s">
        <v>267</v>
      </c>
      <c r="N80" s="528"/>
      <c r="O80" s="528"/>
      <c r="P80" s="528"/>
      <c r="Q80" s="528"/>
      <c r="R80" s="528"/>
      <c r="S80" s="528"/>
      <c r="T80" s="528"/>
      <c r="U80" s="528"/>
      <c r="V80" s="528"/>
      <c r="W80" s="528"/>
      <c r="X80" s="440"/>
      <c r="Y80" s="154"/>
      <c r="Z80" s="147"/>
      <c r="AA80" s="147"/>
      <c r="AB80" s="148"/>
      <c r="AC80" s="154"/>
      <c r="AD80" s="147"/>
      <c r="AE80" s="147"/>
      <c r="AF80" s="148"/>
      <c r="AI80" s="109" t="str">
        <f>"72:field186:" &amp; IF(I80="■",1,IF(L80="■",2,0))</f>
        <v>72:field186:0</v>
      </c>
    </row>
    <row r="81" spans="1:37" ht="18.75" customHeight="1" x14ac:dyDescent="0.2">
      <c r="A81" s="139"/>
      <c r="B81" s="123"/>
      <c r="C81" s="237"/>
      <c r="D81" s="139"/>
      <c r="E81" s="128"/>
      <c r="F81" s="142"/>
      <c r="G81" s="270"/>
      <c r="H81" s="508" t="s">
        <v>486</v>
      </c>
      <c r="I81" s="526" t="s">
        <v>383</v>
      </c>
      <c r="J81" s="350" t="s">
        <v>250</v>
      </c>
      <c r="K81" s="351"/>
      <c r="L81" s="521" t="s">
        <v>383</v>
      </c>
      <c r="M81" s="350" t="s">
        <v>267</v>
      </c>
      <c r="N81" s="528"/>
      <c r="O81" s="528"/>
      <c r="P81" s="528"/>
      <c r="Q81" s="528"/>
      <c r="R81" s="528"/>
      <c r="S81" s="528"/>
      <c r="T81" s="528"/>
      <c r="U81" s="528"/>
      <c r="V81" s="528"/>
      <c r="W81" s="528"/>
      <c r="X81" s="440"/>
      <c r="Y81" s="154"/>
      <c r="Z81" s="147"/>
      <c r="AA81" s="147"/>
      <c r="AB81" s="148"/>
      <c r="AC81" s="154"/>
      <c r="AD81" s="147"/>
      <c r="AE81" s="147"/>
      <c r="AF81" s="148"/>
      <c r="AI81" s="109" t="str">
        <f>"72:jyakuninti_uke_code:" &amp; IF(I81="■",1,IF(L81="■",2,0))</f>
        <v>72:jyakuninti_uke_code:0</v>
      </c>
    </row>
    <row r="82" spans="1:37" ht="18.75" customHeight="1" x14ac:dyDescent="0.2">
      <c r="A82" s="139"/>
      <c r="B82" s="123"/>
      <c r="C82" s="237"/>
      <c r="D82" s="139"/>
      <c r="E82" s="128"/>
      <c r="F82" s="142"/>
      <c r="G82" s="270"/>
      <c r="H82" s="409" t="s">
        <v>236</v>
      </c>
      <c r="I82" s="349" t="s">
        <v>383</v>
      </c>
      <c r="J82" s="350" t="s">
        <v>250</v>
      </c>
      <c r="K82" s="351"/>
      <c r="L82" s="353" t="s">
        <v>383</v>
      </c>
      <c r="M82" s="350" t="s">
        <v>267</v>
      </c>
      <c r="N82" s="528"/>
      <c r="O82" s="528"/>
      <c r="P82" s="528"/>
      <c r="Q82" s="528"/>
      <c r="R82" s="528"/>
      <c r="S82" s="528"/>
      <c r="T82" s="528"/>
      <c r="U82" s="528"/>
      <c r="V82" s="528"/>
      <c r="W82" s="528"/>
      <c r="X82" s="440"/>
      <c r="Y82" s="154"/>
      <c r="Z82" s="147"/>
      <c r="AA82" s="147"/>
      <c r="AB82" s="148"/>
      <c r="AC82" s="154"/>
      <c r="AD82" s="147"/>
      <c r="AE82" s="147"/>
      <c r="AF82" s="148"/>
      <c r="AI82" s="109" t="str">
        <f>"72:eiyomana_code:" &amp; IF(I82="■",1,IF(L82="■",2,0))</f>
        <v>72:eiyomana_code:0</v>
      </c>
    </row>
    <row r="83" spans="1:37" ht="18.75" customHeight="1" x14ac:dyDescent="0.2">
      <c r="A83" s="139"/>
      <c r="B83" s="123"/>
      <c r="C83" s="237"/>
      <c r="D83" s="139"/>
      <c r="E83" s="128"/>
      <c r="F83" s="142"/>
      <c r="G83" s="270"/>
      <c r="H83" s="461" t="s">
        <v>205</v>
      </c>
      <c r="I83" s="349" t="s">
        <v>383</v>
      </c>
      <c r="J83" s="350" t="s">
        <v>250</v>
      </c>
      <c r="K83" s="351"/>
      <c r="L83" s="353" t="s">
        <v>383</v>
      </c>
      <c r="M83" s="350" t="s">
        <v>267</v>
      </c>
      <c r="N83" s="528"/>
      <c r="O83" s="528"/>
      <c r="P83" s="528"/>
      <c r="Q83" s="528"/>
      <c r="R83" s="528"/>
      <c r="S83" s="528"/>
      <c r="T83" s="528"/>
      <c r="U83" s="528"/>
      <c r="V83" s="528"/>
      <c r="W83" s="528"/>
      <c r="X83" s="440"/>
      <c r="Y83" s="154"/>
      <c r="Z83" s="147"/>
      <c r="AA83" s="147"/>
      <c r="AB83" s="148"/>
      <c r="AC83" s="154"/>
      <c r="AD83" s="147"/>
      <c r="AE83" s="147"/>
      <c r="AF83" s="148"/>
      <c r="AI83" s="109" t="str">
        <f>"72:koukoukino_code:" &amp; IF(I83="■",1,IF(L83="■",2,0))</f>
        <v>72:koukoukino_code:0</v>
      </c>
    </row>
    <row r="84" spans="1:37" ht="18.75" customHeight="1" x14ac:dyDescent="0.2">
      <c r="A84" s="139"/>
      <c r="B84" s="123"/>
      <c r="C84" s="237"/>
      <c r="D84" s="139"/>
      <c r="E84" s="128"/>
      <c r="F84" s="142"/>
      <c r="G84" s="270"/>
      <c r="H84" s="461" t="s">
        <v>197</v>
      </c>
      <c r="I84" s="349" t="s">
        <v>383</v>
      </c>
      <c r="J84" s="350" t="s">
        <v>250</v>
      </c>
      <c r="K84" s="351"/>
      <c r="L84" s="353" t="s">
        <v>383</v>
      </c>
      <c r="M84" s="350" t="s">
        <v>267</v>
      </c>
      <c r="N84" s="528"/>
      <c r="O84" s="528"/>
      <c r="P84" s="528"/>
      <c r="Q84" s="528"/>
      <c r="R84" s="528"/>
      <c r="S84" s="528"/>
      <c r="T84" s="528"/>
      <c r="U84" s="528"/>
      <c r="V84" s="528"/>
      <c r="W84" s="528"/>
      <c r="X84" s="440"/>
      <c r="Y84" s="154"/>
      <c r="Z84" s="147"/>
      <c r="AA84" s="147"/>
      <c r="AB84" s="148"/>
      <c r="AC84" s="154"/>
      <c r="AD84" s="147"/>
      <c r="AE84" s="147"/>
      <c r="AF84" s="148"/>
      <c r="AI84" s="109" t="str">
        <f>"72:field212:" &amp; IF(I84="■",1,IF(L84="■",2,0))</f>
        <v>72:field212:0</v>
      </c>
    </row>
    <row r="85" spans="1:37" ht="18.75" customHeight="1" x14ac:dyDescent="0.2">
      <c r="A85" s="139"/>
      <c r="B85" s="123"/>
      <c r="C85" s="237"/>
      <c r="D85" s="139"/>
      <c r="E85" s="128"/>
      <c r="F85" s="142"/>
      <c r="G85" s="270"/>
      <c r="H85" s="508" t="s">
        <v>118</v>
      </c>
      <c r="I85" s="353" t="s">
        <v>383</v>
      </c>
      <c r="J85" s="350" t="s">
        <v>250</v>
      </c>
      <c r="K85" s="350"/>
      <c r="L85" s="353" t="s">
        <v>383</v>
      </c>
      <c r="M85" s="350" t="s">
        <v>295</v>
      </c>
      <c r="N85" s="350"/>
      <c r="O85" s="353" t="s">
        <v>383</v>
      </c>
      <c r="P85" s="350" t="s">
        <v>277</v>
      </c>
      <c r="Q85" s="350"/>
      <c r="R85" s="353" t="s">
        <v>383</v>
      </c>
      <c r="S85" s="350" t="s">
        <v>296</v>
      </c>
      <c r="T85" s="528"/>
      <c r="U85" s="528"/>
      <c r="V85" s="528"/>
      <c r="W85" s="528"/>
      <c r="X85" s="440"/>
      <c r="Y85" s="154"/>
      <c r="Z85" s="147"/>
      <c r="AA85" s="147"/>
      <c r="AB85" s="148"/>
      <c r="AC85" s="154"/>
      <c r="AD85" s="147"/>
      <c r="AE85" s="147"/>
      <c r="AF85" s="148"/>
      <c r="AI85" s="109" t="str">
        <f>"72:serteikyo_kyoka_code:" &amp; IF(I85="■",1,IF(L85="■",5,IF(O85="■",4,IF(R85="■",6,0))))</f>
        <v>72:serteikyo_kyoka_code:0</v>
      </c>
    </row>
    <row r="86" spans="1:37" s="621" customFormat="1" ht="18.75" customHeight="1" x14ac:dyDescent="0.2">
      <c r="A86" s="139"/>
      <c r="B86" s="670"/>
      <c r="C86" s="140"/>
      <c r="D86" s="141"/>
      <c r="E86" s="128"/>
      <c r="F86" s="142"/>
      <c r="G86" s="143"/>
      <c r="H86" s="713" t="s">
        <v>790</v>
      </c>
      <c r="I86" s="642" t="s">
        <v>383</v>
      </c>
      <c r="J86" s="616" t="s">
        <v>627</v>
      </c>
      <c r="K86" s="616"/>
      <c r="L86" s="615"/>
      <c r="M86" s="644" t="s">
        <v>383</v>
      </c>
      <c r="N86" s="616" t="s">
        <v>791</v>
      </c>
      <c r="O86" s="617"/>
      <c r="P86" s="615"/>
      <c r="Q86" s="644" t="s">
        <v>383</v>
      </c>
      <c r="R86" s="618" t="s">
        <v>792</v>
      </c>
      <c r="S86" s="615"/>
      <c r="T86" s="615"/>
      <c r="U86" s="615"/>
      <c r="V86" s="618"/>
      <c r="W86" s="619"/>
      <c r="X86" s="620"/>
      <c r="Y86" s="154"/>
      <c r="Z86" s="147"/>
      <c r="AA86" s="147"/>
      <c r="AB86" s="148"/>
      <c r="AC86" s="154"/>
      <c r="AD86" s="147"/>
      <c r="AE86" s="147"/>
      <c r="AF86" s="148"/>
    </row>
    <row r="87" spans="1:37" s="621" customFormat="1" ht="18.75" customHeight="1" x14ac:dyDescent="0.2">
      <c r="A87" s="183"/>
      <c r="B87" s="658"/>
      <c r="C87" s="185"/>
      <c r="D87" s="186"/>
      <c r="E87" s="187"/>
      <c r="F87" s="188"/>
      <c r="G87" s="189"/>
      <c r="H87" s="714"/>
      <c r="I87" s="643" t="s">
        <v>383</v>
      </c>
      <c r="J87" s="623" t="s">
        <v>793</v>
      </c>
      <c r="K87" s="623"/>
      <c r="L87" s="622"/>
      <c r="M87" s="211" t="s">
        <v>383</v>
      </c>
      <c r="N87" s="623" t="s">
        <v>794</v>
      </c>
      <c r="O87" s="624"/>
      <c r="P87" s="622"/>
      <c r="Q87" s="211" t="s">
        <v>383</v>
      </c>
      <c r="R87" s="623" t="s">
        <v>795</v>
      </c>
      <c r="S87" s="622"/>
      <c r="T87" s="623"/>
      <c r="U87" s="211" t="s">
        <v>383</v>
      </c>
      <c r="V87" s="623" t="s">
        <v>796</v>
      </c>
      <c r="W87" s="625"/>
      <c r="X87" s="626"/>
      <c r="Y87" s="194"/>
      <c r="Z87" s="147"/>
      <c r="AA87" s="147"/>
      <c r="AB87" s="148"/>
      <c r="AC87" s="194"/>
      <c r="AD87" s="147"/>
      <c r="AE87" s="147"/>
      <c r="AF87" s="148"/>
    </row>
    <row r="88" spans="1:37" ht="18.75" customHeight="1" x14ac:dyDescent="0.2">
      <c r="A88" s="129"/>
      <c r="B88" s="116"/>
      <c r="C88" s="233"/>
      <c r="D88" s="132"/>
      <c r="E88" s="121"/>
      <c r="F88" s="132"/>
      <c r="G88" s="136"/>
      <c r="H88" s="559" t="s">
        <v>546</v>
      </c>
      <c r="I88" s="367" t="s">
        <v>383</v>
      </c>
      <c r="J88" s="368" t="s">
        <v>250</v>
      </c>
      <c r="K88" s="368"/>
      <c r="L88" s="370"/>
      <c r="M88" s="371" t="s">
        <v>383</v>
      </c>
      <c r="N88" s="368" t="s">
        <v>281</v>
      </c>
      <c r="O88" s="368"/>
      <c r="P88" s="370"/>
      <c r="Q88" s="371" t="s">
        <v>383</v>
      </c>
      <c r="R88" s="457" t="s">
        <v>282</v>
      </c>
      <c r="S88" s="457"/>
      <c r="T88" s="457"/>
      <c r="U88" s="457"/>
      <c r="V88" s="457"/>
      <c r="W88" s="457"/>
      <c r="X88" s="560"/>
      <c r="Y88" s="138" t="s">
        <v>383</v>
      </c>
      <c r="Z88" s="119" t="s">
        <v>249</v>
      </c>
      <c r="AA88" s="119"/>
      <c r="AB88" s="137"/>
      <c r="AC88" s="138" t="s">
        <v>383</v>
      </c>
      <c r="AD88" s="119" t="s">
        <v>249</v>
      </c>
      <c r="AE88" s="119"/>
      <c r="AF88" s="137"/>
      <c r="AG88" s="109" t="str">
        <f>"ser_code = '" &amp; IF(A96="■",73,"") &amp; "'"</f>
        <v>ser_code = ''</v>
      </c>
      <c r="AH88" s="109"/>
      <c r="AI88" s="109" t="str">
        <f>"73:"&amp;IF(AND(I88="□",M88="□",Q88="□"),"ketu_kangos_code:0",IF(I88="■","ketu_kangos_code:1:ketu_kshoku_code:1",IF(M88="■","ketu_kangos_code:2","ketu_kangos_code:1")&amp;IF(Q88="■",":ketu_kshoku_code:2",":ketu_kshoku_code:1")))</f>
        <v>73:ketu_kangos_code:0</v>
      </c>
      <c r="AJ88" s="109" t="str">
        <f>"73:field203:" &amp; IF(Y88="■",1,IF(Y89="■",2,0))</f>
        <v>73:field203:0</v>
      </c>
      <c r="AK88" s="109" t="str">
        <f>"73:waribiki_code:" &amp; IF(AC88="■",1,IF(AC89="■",2,0))</f>
        <v>73:waribiki_code:0</v>
      </c>
    </row>
    <row r="89" spans="1:37" s="109" customFormat="1" ht="18.75" customHeight="1" x14ac:dyDescent="0.2">
      <c r="A89" s="139"/>
      <c r="B89" s="123"/>
      <c r="C89" s="248"/>
      <c r="D89" s="249"/>
      <c r="E89" s="128"/>
      <c r="F89" s="142"/>
      <c r="G89" s="143"/>
      <c r="H89" s="529" t="s">
        <v>107</v>
      </c>
      <c r="I89" s="349" t="s">
        <v>383</v>
      </c>
      <c r="J89" s="350" t="s">
        <v>395</v>
      </c>
      <c r="K89" s="351"/>
      <c r="L89" s="352"/>
      <c r="M89" s="353" t="s">
        <v>383</v>
      </c>
      <c r="N89" s="350" t="s">
        <v>396</v>
      </c>
      <c r="O89" s="351"/>
      <c r="P89" s="351"/>
      <c r="Q89" s="351"/>
      <c r="R89" s="351"/>
      <c r="S89" s="351"/>
      <c r="T89" s="351"/>
      <c r="U89" s="351"/>
      <c r="V89" s="351"/>
      <c r="W89" s="351"/>
      <c r="X89" s="365"/>
      <c r="Y89" s="118" t="s">
        <v>383</v>
      </c>
      <c r="Z89" s="126" t="s">
        <v>255</v>
      </c>
      <c r="AA89" s="147"/>
      <c r="AB89" s="148"/>
      <c r="AC89" s="118" t="s">
        <v>383</v>
      </c>
      <c r="AD89" s="126" t="s">
        <v>255</v>
      </c>
      <c r="AE89" s="147"/>
      <c r="AF89" s="148"/>
      <c r="AG89" s="109" t="str">
        <f>"73:sisetukbn_code:" &amp; IF(D96="■",1,IF(D97="■",2,0))</f>
        <v>73:sisetukbn_code:0</v>
      </c>
      <c r="AI89" s="109" t="str">
        <f>"73:sintaikousoku_code:" &amp; IF(I89="■",1,IF(M89="■",2,0))</f>
        <v>73:sintaikousoku_code:0</v>
      </c>
    </row>
    <row r="90" spans="1:37" ht="19.5" customHeight="1" x14ac:dyDescent="0.2">
      <c r="A90" s="139"/>
      <c r="B90" s="123"/>
      <c r="C90" s="140"/>
      <c r="D90" s="141"/>
      <c r="E90" s="128"/>
      <c r="F90" s="142"/>
      <c r="G90" s="143"/>
      <c r="H90" s="257" t="s">
        <v>430</v>
      </c>
      <c r="I90" s="150" t="s">
        <v>383</v>
      </c>
      <c r="J90" s="169" t="s">
        <v>395</v>
      </c>
      <c r="K90" s="179"/>
      <c r="L90" s="254"/>
      <c r="M90" s="203" t="s">
        <v>383</v>
      </c>
      <c r="N90" s="169" t="s">
        <v>431</v>
      </c>
      <c r="O90" s="177"/>
      <c r="P90" s="169"/>
      <c r="Q90" s="152"/>
      <c r="R90" s="152"/>
      <c r="S90" s="152"/>
      <c r="T90" s="152"/>
      <c r="U90" s="152"/>
      <c r="V90" s="152"/>
      <c r="W90" s="152"/>
      <c r="X90" s="153"/>
      <c r="Y90" s="154"/>
      <c r="Z90" s="126"/>
      <c r="AA90" s="147"/>
      <c r="AB90" s="148"/>
      <c r="AC90" s="154"/>
      <c r="AD90" s="126"/>
      <c r="AE90" s="147"/>
      <c r="AF90" s="148"/>
      <c r="AG90" s="109"/>
      <c r="AI90" s="109" t="str">
        <f>"73:field223:" &amp; IF(I90="■",1,IF(M90="■",2,0))</f>
        <v>73:field223:0</v>
      </c>
    </row>
    <row r="91" spans="1:37" ht="19.5" customHeight="1" x14ac:dyDescent="0.2">
      <c r="A91" s="139"/>
      <c r="B91" s="123"/>
      <c r="C91" s="140"/>
      <c r="D91" s="141"/>
      <c r="E91" s="128"/>
      <c r="F91" s="142"/>
      <c r="G91" s="143"/>
      <c r="H91" s="155" t="s">
        <v>448</v>
      </c>
      <c r="I91" s="156" t="s">
        <v>383</v>
      </c>
      <c r="J91" s="157" t="s">
        <v>395</v>
      </c>
      <c r="K91" s="158"/>
      <c r="L91" s="159"/>
      <c r="M91" s="160" t="s">
        <v>383</v>
      </c>
      <c r="N91" s="157" t="s">
        <v>431</v>
      </c>
      <c r="O91" s="161"/>
      <c r="P91" s="157"/>
      <c r="Q91" s="162"/>
      <c r="R91" s="162"/>
      <c r="S91" s="162"/>
      <c r="T91" s="162"/>
      <c r="U91" s="162"/>
      <c r="V91" s="162"/>
      <c r="W91" s="162"/>
      <c r="X91" s="163"/>
      <c r="Y91" s="154"/>
      <c r="Z91" s="147"/>
      <c r="AA91" s="147"/>
      <c r="AB91" s="148"/>
      <c r="AC91" s="154"/>
      <c r="AD91" s="147"/>
      <c r="AE91" s="147"/>
      <c r="AF91" s="148"/>
      <c r="AI91" s="109" t="str">
        <f>"73:field232:" &amp; IF(I91="■",1,IF(M91="■",2,0))</f>
        <v>73:field232:0</v>
      </c>
    </row>
    <row r="92" spans="1:37" ht="18.75" customHeight="1" x14ac:dyDescent="0.2">
      <c r="A92" s="139"/>
      <c r="B92" s="123"/>
      <c r="C92" s="237"/>
      <c r="D92" s="142"/>
      <c r="E92" s="128"/>
      <c r="F92" s="142"/>
      <c r="G92" s="270"/>
      <c r="H92" s="164" t="s">
        <v>192</v>
      </c>
      <c r="I92" s="175" t="s">
        <v>781</v>
      </c>
      <c r="J92" s="157" t="s">
        <v>250</v>
      </c>
      <c r="K92" s="158"/>
      <c r="L92" s="118" t="s">
        <v>383</v>
      </c>
      <c r="M92" s="157" t="s">
        <v>267</v>
      </c>
      <c r="N92" s="207"/>
      <c r="O92" s="207"/>
      <c r="P92" s="207"/>
      <c r="Q92" s="207"/>
      <c r="R92" s="207"/>
      <c r="S92" s="207"/>
      <c r="T92" s="207"/>
      <c r="U92" s="207"/>
      <c r="V92" s="207"/>
      <c r="W92" s="207"/>
      <c r="X92" s="208"/>
      <c r="Y92" s="154"/>
      <c r="Z92" s="147"/>
      <c r="AA92" s="147"/>
      <c r="AB92" s="148"/>
      <c r="AC92" s="154"/>
      <c r="AD92" s="147"/>
      <c r="AE92" s="147"/>
      <c r="AF92" s="148"/>
      <c r="AI92" s="109" t="str">
        <f>"73:tokutiiki_code:" &amp; IF(I92="■",1,IF(L92="■",2,0))</f>
        <v>73:tokutiiki_code:1</v>
      </c>
    </row>
    <row r="93" spans="1:37" ht="18.75" customHeight="1" x14ac:dyDescent="0.2">
      <c r="A93" s="139"/>
      <c r="B93" s="123"/>
      <c r="C93" s="237"/>
      <c r="D93" s="142"/>
      <c r="E93" s="128"/>
      <c r="F93" s="142"/>
      <c r="G93" s="270"/>
      <c r="H93" s="694" t="s">
        <v>478</v>
      </c>
      <c r="I93" s="707" t="s">
        <v>781</v>
      </c>
      <c r="J93" s="708" t="s">
        <v>256</v>
      </c>
      <c r="K93" s="708"/>
      <c r="L93" s="708"/>
      <c r="M93" s="707" t="s">
        <v>383</v>
      </c>
      <c r="N93" s="708" t="s">
        <v>257</v>
      </c>
      <c r="O93" s="708"/>
      <c r="P93" s="708"/>
      <c r="Q93" s="181"/>
      <c r="R93" s="181"/>
      <c r="S93" s="181"/>
      <c r="T93" s="181"/>
      <c r="U93" s="181"/>
      <c r="V93" s="181"/>
      <c r="W93" s="181"/>
      <c r="X93" s="182"/>
      <c r="Y93" s="154"/>
      <c r="Z93" s="147"/>
      <c r="AA93" s="147"/>
      <c r="AB93" s="148"/>
      <c r="AC93" s="154"/>
      <c r="AD93" s="147"/>
      <c r="AE93" s="147"/>
      <c r="AF93" s="148"/>
      <c r="AI93" s="109" t="str">
        <f>"73:chuusankanti_tiiki_code:" &amp; IF(I93="■",1,IF(M93="■",2,0))</f>
        <v>73:chuusankanti_tiiki_code:1</v>
      </c>
    </row>
    <row r="94" spans="1:37" ht="20.25" customHeight="1" x14ac:dyDescent="0.2">
      <c r="A94" s="139"/>
      <c r="B94" s="123"/>
      <c r="C94" s="237"/>
      <c r="D94" s="142"/>
      <c r="E94" s="128"/>
      <c r="F94" s="142"/>
      <c r="G94" s="270"/>
      <c r="H94" s="693"/>
      <c r="I94" s="696"/>
      <c r="J94" s="698"/>
      <c r="K94" s="698"/>
      <c r="L94" s="698"/>
      <c r="M94" s="696"/>
      <c r="N94" s="698"/>
      <c r="O94" s="698"/>
      <c r="P94" s="698"/>
      <c r="Q94" s="152"/>
      <c r="R94" s="152"/>
      <c r="S94" s="152"/>
      <c r="T94" s="152"/>
      <c r="U94" s="152"/>
      <c r="V94" s="152"/>
      <c r="W94" s="152"/>
      <c r="X94" s="153"/>
      <c r="Y94" s="154"/>
      <c r="Z94" s="147"/>
      <c r="AA94" s="147"/>
      <c r="AB94" s="148"/>
      <c r="AC94" s="154"/>
      <c r="AD94" s="147"/>
      <c r="AE94" s="147"/>
      <c r="AF94" s="148"/>
    </row>
    <row r="95" spans="1:37" ht="18.75" customHeight="1" x14ac:dyDescent="0.2">
      <c r="A95" s="139"/>
      <c r="B95" s="123"/>
      <c r="C95" s="237"/>
      <c r="D95" s="139"/>
      <c r="E95" s="128"/>
      <c r="F95" s="142"/>
      <c r="G95" s="270"/>
      <c r="H95" s="149" t="s">
        <v>129</v>
      </c>
      <c r="I95" s="175" t="s">
        <v>383</v>
      </c>
      <c r="J95" s="157" t="s">
        <v>250</v>
      </c>
      <c r="K95" s="157"/>
      <c r="L95" s="160" t="s">
        <v>383</v>
      </c>
      <c r="M95" s="157" t="s">
        <v>251</v>
      </c>
      <c r="N95" s="157"/>
      <c r="O95" s="206" t="s">
        <v>383</v>
      </c>
      <c r="P95" s="157" t="s">
        <v>252</v>
      </c>
      <c r="Q95" s="207"/>
      <c r="R95" s="157"/>
      <c r="S95" s="157"/>
      <c r="T95" s="207"/>
      <c r="U95" s="157"/>
      <c r="V95" s="157"/>
      <c r="W95" s="207"/>
      <c r="X95" s="153"/>
      <c r="Y95" s="154"/>
      <c r="Z95" s="147"/>
      <c r="AA95" s="147"/>
      <c r="AB95" s="148"/>
      <c r="AC95" s="154"/>
      <c r="AD95" s="147"/>
      <c r="AE95" s="147"/>
      <c r="AF95" s="148"/>
      <c r="AI95" s="109" t="str">
        <f>"73:field167:" &amp; IF(I95="■",1,IF(L95="■",2,IF(O95="■",3,0)))</f>
        <v>73:field167:0</v>
      </c>
    </row>
    <row r="96" spans="1:37" ht="18.75" customHeight="1" x14ac:dyDescent="0.2">
      <c r="A96" s="125" t="s">
        <v>383</v>
      </c>
      <c r="B96" s="123">
        <v>73</v>
      </c>
      <c r="C96" s="237" t="s">
        <v>547</v>
      </c>
      <c r="D96" s="125" t="s">
        <v>383</v>
      </c>
      <c r="E96" s="128" t="s">
        <v>548</v>
      </c>
      <c r="F96" s="142"/>
      <c r="G96" s="270"/>
      <c r="H96" s="245" t="s">
        <v>550</v>
      </c>
      <c r="I96" s="175" t="s">
        <v>383</v>
      </c>
      <c r="J96" s="157" t="s">
        <v>250</v>
      </c>
      <c r="K96" s="158"/>
      <c r="L96" s="118" t="s">
        <v>383</v>
      </c>
      <c r="M96" s="157" t="s">
        <v>267</v>
      </c>
      <c r="N96" s="207"/>
      <c r="O96" s="207"/>
      <c r="P96" s="207"/>
      <c r="Q96" s="207"/>
      <c r="R96" s="207"/>
      <c r="S96" s="207"/>
      <c r="T96" s="207"/>
      <c r="U96" s="207"/>
      <c r="V96" s="207"/>
      <c r="W96" s="207"/>
      <c r="X96" s="208"/>
      <c r="Y96" s="154"/>
      <c r="Z96" s="147"/>
      <c r="AA96" s="147"/>
      <c r="AB96" s="148"/>
      <c r="AC96" s="154"/>
      <c r="AD96" s="147"/>
      <c r="AE96" s="147"/>
      <c r="AF96" s="148"/>
      <c r="AI96" s="109" t="str">
        <f>"73:jyakuninti_uke_code:" &amp; IF(I96="■",1,IF(L96="■",2,0))</f>
        <v>73:jyakuninti_uke_code:0</v>
      </c>
    </row>
    <row r="97" spans="1:37" ht="18.75" customHeight="1" x14ac:dyDescent="0.2">
      <c r="A97" s="139"/>
      <c r="B97" s="123"/>
      <c r="C97" s="237"/>
      <c r="D97" s="125" t="s">
        <v>383</v>
      </c>
      <c r="E97" s="128" t="s">
        <v>549</v>
      </c>
      <c r="F97" s="142"/>
      <c r="G97" s="270"/>
      <c r="H97" s="245" t="s">
        <v>552</v>
      </c>
      <c r="I97" s="175" t="s">
        <v>383</v>
      </c>
      <c r="J97" s="157" t="s">
        <v>250</v>
      </c>
      <c r="K97" s="157"/>
      <c r="L97" s="160" t="s">
        <v>383</v>
      </c>
      <c r="M97" s="157" t="s">
        <v>251</v>
      </c>
      <c r="N97" s="157"/>
      <c r="O97" s="206" t="s">
        <v>383</v>
      </c>
      <c r="P97" s="157" t="s">
        <v>252</v>
      </c>
      <c r="Q97" s="207"/>
      <c r="R97" s="206" t="s">
        <v>383</v>
      </c>
      <c r="S97" s="157" t="s">
        <v>253</v>
      </c>
      <c r="T97" s="207"/>
      <c r="U97" s="207"/>
      <c r="V97" s="207"/>
      <c r="W97" s="207"/>
      <c r="X97" s="208"/>
      <c r="Y97" s="154"/>
      <c r="Z97" s="147"/>
      <c r="AA97" s="147"/>
      <c r="AB97" s="148"/>
      <c r="AC97" s="154"/>
      <c r="AD97" s="147"/>
      <c r="AE97" s="147"/>
      <c r="AF97" s="148"/>
      <c r="AI97" s="109" t="str">
        <f>"73:kangos_haiti_code:" &amp; IF(I97="■",1,IF(L97="■",2,IF(O97="■",3,IF(R97="■",4,0))))</f>
        <v>73:kangos_haiti_code:0</v>
      </c>
    </row>
    <row r="98" spans="1:37" ht="18.75" customHeight="1" x14ac:dyDescent="0.2">
      <c r="A98" s="139"/>
      <c r="B98" s="123"/>
      <c r="C98" s="237"/>
      <c r="D98" s="142"/>
      <c r="E98" s="128" t="s">
        <v>551</v>
      </c>
      <c r="F98" s="142"/>
      <c r="G98" s="270"/>
      <c r="H98" s="245" t="s">
        <v>553</v>
      </c>
      <c r="I98" s="156" t="s">
        <v>383</v>
      </c>
      <c r="J98" s="157" t="s">
        <v>250</v>
      </c>
      <c r="K98" s="158"/>
      <c r="L98" s="160" t="s">
        <v>383</v>
      </c>
      <c r="M98" s="157" t="s">
        <v>267</v>
      </c>
      <c r="N98" s="207"/>
      <c r="O98" s="207"/>
      <c r="P98" s="207"/>
      <c r="Q98" s="207"/>
      <c r="R98" s="207"/>
      <c r="S98" s="207"/>
      <c r="T98" s="207"/>
      <c r="U98" s="207"/>
      <c r="V98" s="207"/>
      <c r="W98" s="207"/>
      <c r="X98" s="208"/>
      <c r="Y98" s="154"/>
      <c r="Z98" s="147"/>
      <c r="AA98" s="147"/>
      <c r="AB98" s="148"/>
      <c r="AC98" s="154"/>
      <c r="AD98" s="147"/>
      <c r="AE98" s="147"/>
      <c r="AF98" s="148"/>
      <c r="AI98" s="109" t="str">
        <f>"73:field171:" &amp; IF(I98="■",1,IF(L98="■",2,0))</f>
        <v>73:field171:0</v>
      </c>
    </row>
    <row r="99" spans="1:37" ht="18.75" customHeight="1" x14ac:dyDescent="0.2">
      <c r="A99" s="139"/>
      <c r="B99" s="123"/>
      <c r="C99" s="237"/>
      <c r="D99" s="142"/>
      <c r="E99" s="128"/>
      <c r="F99" s="142"/>
      <c r="G99" s="270"/>
      <c r="H99" s="245" t="s">
        <v>554</v>
      </c>
      <c r="I99" s="156" t="s">
        <v>383</v>
      </c>
      <c r="J99" s="157" t="s">
        <v>250</v>
      </c>
      <c r="K99" s="158"/>
      <c r="L99" s="160" t="s">
        <v>383</v>
      </c>
      <c r="M99" s="157" t="s">
        <v>267</v>
      </c>
      <c r="N99" s="207"/>
      <c r="O99" s="207"/>
      <c r="P99" s="207"/>
      <c r="Q99" s="207"/>
      <c r="R99" s="207"/>
      <c r="S99" s="207"/>
      <c r="T99" s="207"/>
      <c r="U99" s="207"/>
      <c r="V99" s="207"/>
      <c r="W99" s="207"/>
      <c r="X99" s="208"/>
      <c r="Y99" s="154"/>
      <c r="Z99" s="147"/>
      <c r="AA99" s="147"/>
      <c r="AB99" s="148"/>
      <c r="AC99" s="154"/>
      <c r="AD99" s="147"/>
      <c r="AE99" s="147"/>
      <c r="AF99" s="148"/>
      <c r="AI99" s="109" t="str">
        <f>"73:field172:" &amp; IF(I99="■",1,IF(L99="■",2,0))</f>
        <v>73:field172:0</v>
      </c>
    </row>
    <row r="100" spans="1:37" ht="18.75" customHeight="1" x14ac:dyDescent="0.2">
      <c r="A100" s="139"/>
      <c r="B100" s="123"/>
      <c r="C100" s="237"/>
      <c r="D100" s="142"/>
      <c r="E100" s="128"/>
      <c r="F100" s="142"/>
      <c r="G100" s="270"/>
      <c r="H100" s="245" t="s">
        <v>522</v>
      </c>
      <c r="I100" s="156" t="s">
        <v>383</v>
      </c>
      <c r="J100" s="157" t="s">
        <v>250</v>
      </c>
      <c r="K100" s="158"/>
      <c r="L100" s="160" t="s">
        <v>383</v>
      </c>
      <c r="M100" s="157" t="s">
        <v>268</v>
      </c>
      <c r="N100" s="157"/>
      <c r="O100" s="206" t="s">
        <v>383</v>
      </c>
      <c r="P100" s="168" t="s">
        <v>269</v>
      </c>
      <c r="Q100" s="157"/>
      <c r="R100" s="157"/>
      <c r="S100" s="158"/>
      <c r="T100" s="157"/>
      <c r="U100" s="158"/>
      <c r="V100" s="158"/>
      <c r="W100" s="158"/>
      <c r="X100" s="166"/>
      <c r="Y100" s="154"/>
      <c r="Z100" s="147"/>
      <c r="AA100" s="147"/>
      <c r="AB100" s="148"/>
      <c r="AC100" s="154"/>
      <c r="AD100" s="147"/>
      <c r="AE100" s="147"/>
      <c r="AF100" s="148"/>
      <c r="AI100" s="109" t="str">
        <f>"73:field168:" &amp; IF(I100="■",1,IF(L100="■",3,IF(O100="■",2,0)))</f>
        <v>73:field168:0</v>
      </c>
    </row>
    <row r="101" spans="1:37" ht="18.75" customHeight="1" x14ac:dyDescent="0.2">
      <c r="A101" s="139"/>
      <c r="B101" s="123"/>
      <c r="C101" s="237"/>
      <c r="D101" s="142"/>
      <c r="E101" s="128"/>
      <c r="F101" s="142"/>
      <c r="G101" s="270"/>
      <c r="H101" s="164" t="s">
        <v>197</v>
      </c>
      <c r="I101" s="156" t="s">
        <v>383</v>
      </c>
      <c r="J101" s="157" t="s">
        <v>250</v>
      </c>
      <c r="K101" s="158"/>
      <c r="L101" s="160" t="s">
        <v>383</v>
      </c>
      <c r="M101" s="157" t="s">
        <v>267</v>
      </c>
      <c r="N101" s="207"/>
      <c r="O101" s="207"/>
      <c r="P101" s="207"/>
      <c r="Q101" s="207"/>
      <c r="R101" s="207"/>
      <c r="S101" s="207"/>
      <c r="T101" s="207"/>
      <c r="U101" s="207"/>
      <c r="V101" s="207"/>
      <c r="W101" s="207"/>
      <c r="X101" s="208"/>
      <c r="Y101" s="154"/>
      <c r="Z101" s="147"/>
      <c r="AA101" s="147"/>
      <c r="AB101" s="148"/>
      <c r="AC101" s="154"/>
      <c r="AD101" s="147"/>
      <c r="AE101" s="147"/>
      <c r="AF101" s="148"/>
      <c r="AI101" s="109" t="str">
        <f>"73:field212:" &amp; IF(I101="■",1,IF(L101="■",2,0))</f>
        <v>73:field212:0</v>
      </c>
    </row>
    <row r="102" spans="1:37" ht="18.75" customHeight="1" x14ac:dyDescent="0.2">
      <c r="A102" s="139"/>
      <c r="B102" s="123"/>
      <c r="C102" s="237"/>
      <c r="D102" s="142"/>
      <c r="E102" s="128"/>
      <c r="F102" s="142"/>
      <c r="G102" s="270"/>
      <c r="H102" s="250" t="s">
        <v>442</v>
      </c>
      <c r="I102" s="156" t="s">
        <v>383</v>
      </c>
      <c r="J102" s="157" t="s">
        <v>250</v>
      </c>
      <c r="K102" s="157"/>
      <c r="L102" s="160" t="s">
        <v>383</v>
      </c>
      <c r="M102" s="157" t="s">
        <v>251</v>
      </c>
      <c r="N102" s="157"/>
      <c r="O102" s="160" t="s">
        <v>383</v>
      </c>
      <c r="P102" s="157" t="s">
        <v>252</v>
      </c>
      <c r="Q102" s="162"/>
      <c r="R102" s="162"/>
      <c r="S102" s="162"/>
      <c r="T102" s="162"/>
      <c r="U102" s="251"/>
      <c r="V102" s="251"/>
      <c r="W102" s="251"/>
      <c r="X102" s="252"/>
      <c r="Y102" s="154"/>
      <c r="Z102" s="147"/>
      <c r="AA102" s="147"/>
      <c r="AB102" s="148"/>
      <c r="AC102" s="154"/>
      <c r="AD102" s="147"/>
      <c r="AE102" s="147"/>
      <c r="AF102" s="148"/>
      <c r="AI102" s="109" t="str">
        <f>"73:field225:" &amp; IF(I102="■",1,IF(L102="■",2,IF(O102="■",3,0)))</f>
        <v>73:field225:0</v>
      </c>
    </row>
    <row r="103" spans="1:37" ht="18.75" customHeight="1" x14ac:dyDescent="0.2">
      <c r="A103" s="139"/>
      <c r="B103" s="123"/>
      <c r="C103" s="237"/>
      <c r="D103" s="142"/>
      <c r="E103" s="128"/>
      <c r="F103" s="142"/>
      <c r="G103" s="270"/>
      <c r="H103" s="245" t="s">
        <v>118</v>
      </c>
      <c r="I103" s="156" t="s">
        <v>383</v>
      </c>
      <c r="J103" s="157" t="s">
        <v>250</v>
      </c>
      <c r="K103" s="157"/>
      <c r="L103" s="160" t="s">
        <v>383</v>
      </c>
      <c r="M103" s="157" t="s">
        <v>258</v>
      </c>
      <c r="N103" s="157"/>
      <c r="O103" s="160" t="s">
        <v>383</v>
      </c>
      <c r="P103" s="157" t="s">
        <v>259</v>
      </c>
      <c r="Q103" s="207"/>
      <c r="R103" s="160" t="s">
        <v>383</v>
      </c>
      <c r="S103" s="157" t="s">
        <v>283</v>
      </c>
      <c r="T103" s="207"/>
      <c r="U103" s="207"/>
      <c r="V103" s="207"/>
      <c r="W103" s="207"/>
      <c r="X103" s="208"/>
      <c r="Y103" s="154"/>
      <c r="Z103" s="147"/>
      <c r="AA103" s="147"/>
      <c r="AB103" s="148"/>
      <c r="AC103" s="154"/>
      <c r="AD103" s="147"/>
      <c r="AE103" s="147"/>
      <c r="AF103" s="148"/>
      <c r="AI103" s="109" t="str">
        <f>"73:serteikyo_kyoka_code:" &amp; IF(I103="■",1,IF(L103="■",6,IF(O103="■",5,IF(R103="■",7,0))))</f>
        <v>73:serteikyo_kyoka_code:0</v>
      </c>
    </row>
    <row r="104" spans="1:37" s="621" customFormat="1" ht="18.75" customHeight="1" x14ac:dyDescent="0.2">
      <c r="A104" s="139"/>
      <c r="B104" s="670"/>
      <c r="C104" s="140"/>
      <c r="D104" s="141"/>
      <c r="E104" s="128"/>
      <c r="F104" s="142"/>
      <c r="G104" s="143"/>
      <c r="H104" s="713" t="s">
        <v>790</v>
      </c>
      <c r="I104" s="642" t="s">
        <v>383</v>
      </c>
      <c r="J104" s="616" t="s">
        <v>627</v>
      </c>
      <c r="K104" s="616"/>
      <c r="L104" s="615"/>
      <c r="M104" s="644" t="s">
        <v>383</v>
      </c>
      <c r="N104" s="616" t="s">
        <v>791</v>
      </c>
      <c r="O104" s="617"/>
      <c r="P104" s="615"/>
      <c r="Q104" s="644" t="s">
        <v>383</v>
      </c>
      <c r="R104" s="618" t="s">
        <v>792</v>
      </c>
      <c r="S104" s="615"/>
      <c r="T104" s="615"/>
      <c r="U104" s="615"/>
      <c r="V104" s="618"/>
      <c r="W104" s="619"/>
      <c r="X104" s="620"/>
      <c r="Y104" s="154"/>
      <c r="Z104" s="147"/>
      <c r="AA104" s="147"/>
      <c r="AB104" s="148"/>
      <c r="AC104" s="154"/>
      <c r="AD104" s="147"/>
      <c r="AE104" s="147"/>
      <c r="AF104" s="148"/>
    </row>
    <row r="105" spans="1:37" s="621" customFormat="1" ht="18.75" customHeight="1" x14ac:dyDescent="0.2">
      <c r="A105" s="183"/>
      <c r="B105" s="658"/>
      <c r="C105" s="185"/>
      <c r="D105" s="186"/>
      <c r="E105" s="187"/>
      <c r="F105" s="188"/>
      <c r="G105" s="189"/>
      <c r="H105" s="714"/>
      <c r="I105" s="643" t="s">
        <v>383</v>
      </c>
      <c r="J105" s="623" t="s">
        <v>793</v>
      </c>
      <c r="K105" s="623"/>
      <c r="L105" s="622"/>
      <c r="M105" s="211" t="s">
        <v>383</v>
      </c>
      <c r="N105" s="623" t="s">
        <v>794</v>
      </c>
      <c r="O105" s="624"/>
      <c r="P105" s="622"/>
      <c r="Q105" s="211" t="s">
        <v>383</v>
      </c>
      <c r="R105" s="623" t="s">
        <v>795</v>
      </c>
      <c r="S105" s="622"/>
      <c r="T105" s="623"/>
      <c r="U105" s="211" t="s">
        <v>383</v>
      </c>
      <c r="V105" s="623" t="s">
        <v>796</v>
      </c>
      <c r="W105" s="625"/>
      <c r="X105" s="626"/>
      <c r="Y105" s="194"/>
      <c r="Z105" s="147"/>
      <c r="AA105" s="147"/>
      <c r="AB105" s="148"/>
      <c r="AC105" s="194"/>
      <c r="AD105" s="147"/>
      <c r="AE105" s="147"/>
      <c r="AF105" s="148"/>
    </row>
    <row r="106" spans="1:37" ht="18.75" customHeight="1" x14ac:dyDescent="0.2">
      <c r="A106" s="131"/>
      <c r="B106" s="225"/>
      <c r="C106" s="117"/>
      <c r="D106" s="244"/>
      <c r="E106" s="244"/>
      <c r="F106" s="132"/>
      <c r="G106" s="136"/>
      <c r="H106" s="555" t="s">
        <v>93</v>
      </c>
      <c r="I106" s="387" t="s">
        <v>383</v>
      </c>
      <c r="J106" s="562" t="s">
        <v>250</v>
      </c>
      <c r="K106" s="388"/>
      <c r="L106" s="390"/>
      <c r="M106" s="391" t="s">
        <v>383</v>
      </c>
      <c r="N106" s="388" t="s">
        <v>281</v>
      </c>
      <c r="O106" s="388"/>
      <c r="P106" s="390"/>
      <c r="Q106" s="391" t="s">
        <v>383</v>
      </c>
      <c r="R106" s="542" t="s">
        <v>282</v>
      </c>
      <c r="S106" s="542"/>
      <c r="T106" s="542"/>
      <c r="U106" s="542"/>
      <c r="V106" s="542"/>
      <c r="W106" s="542"/>
      <c r="X106" s="556"/>
      <c r="Y106" s="138" t="s">
        <v>383</v>
      </c>
      <c r="Z106" s="119" t="s">
        <v>249</v>
      </c>
      <c r="AA106" s="119"/>
      <c r="AB106" s="137"/>
      <c r="AC106" s="138" t="s">
        <v>383</v>
      </c>
      <c r="AD106" s="119" t="s">
        <v>249</v>
      </c>
      <c r="AE106" s="119"/>
      <c r="AF106" s="137"/>
      <c r="AG106" s="109" t="str">
        <f>"ser_code = '" &amp; IF(A109="■",68,"") &amp; "'"</f>
        <v>ser_code = ''</v>
      </c>
      <c r="AH106" s="109"/>
      <c r="AI106" s="109" t="str">
        <f>"68:"&amp;IF(AND(I106="□",M106="□",Q106="□"),"ketu_kangos_code:0",IF(I106="■","ketu_kangos_code:1:ketu_kshoku_code:1",IF(M106="■","ketu_kangos_code:2","ketu_kangos_code:1")&amp;IF(Q106="■",":ketu_kshoku_code:2",":ketu_kshoku_code:1")))</f>
        <v>68:ketu_kangos_code:0</v>
      </c>
      <c r="AJ106" s="109" t="str">
        <f>"68:field203:" &amp; IF(Y106="■",1,IF(Y107="■",2,0))</f>
        <v>68:field203:0</v>
      </c>
      <c r="AK106" s="109" t="str">
        <f>"68:waribiki_code:" &amp; IF(AC106="■",1,IF(AC107="■",2,0))</f>
        <v>68:waribiki_code:0</v>
      </c>
    </row>
    <row r="107" spans="1:37" s="109" customFormat="1" ht="18.75" customHeight="1" x14ac:dyDescent="0.2">
      <c r="A107" s="139"/>
      <c r="B107" s="123"/>
      <c r="C107" s="248"/>
      <c r="D107" s="249"/>
      <c r="E107" s="128"/>
      <c r="F107" s="142"/>
      <c r="G107" s="143"/>
      <c r="H107" s="529" t="s">
        <v>107</v>
      </c>
      <c r="I107" s="349" t="s">
        <v>383</v>
      </c>
      <c r="J107" s="350" t="s">
        <v>395</v>
      </c>
      <c r="K107" s="351"/>
      <c r="L107" s="352"/>
      <c r="M107" s="353" t="s">
        <v>383</v>
      </c>
      <c r="N107" s="350" t="s">
        <v>396</v>
      </c>
      <c r="O107" s="351"/>
      <c r="P107" s="351"/>
      <c r="Q107" s="351"/>
      <c r="R107" s="351"/>
      <c r="S107" s="362"/>
      <c r="T107" s="362"/>
      <c r="U107" s="362"/>
      <c r="V107" s="362"/>
      <c r="W107" s="362"/>
      <c r="X107" s="363"/>
      <c r="Y107" s="118" t="s">
        <v>383</v>
      </c>
      <c r="Z107" s="126" t="s">
        <v>255</v>
      </c>
      <c r="AA107" s="147"/>
      <c r="AB107" s="148"/>
      <c r="AC107" s="118" t="s">
        <v>383</v>
      </c>
      <c r="AD107" s="126" t="s">
        <v>255</v>
      </c>
      <c r="AE107" s="147"/>
      <c r="AF107" s="148"/>
      <c r="AG107" s="109" t="str">
        <f>"68:sisetukbn_code:" &amp; IF(D109="■",1,IF(D110="■",2,0))</f>
        <v>68:sisetukbn_code:0</v>
      </c>
      <c r="AI107" s="109" t="str">
        <f>"68:sintaikousoku_code:" &amp; IF(I107="■",1,IF(M107="■",2,0))</f>
        <v>68:sintaikousoku_code:0</v>
      </c>
    </row>
    <row r="108" spans="1:37" ht="19.5" customHeight="1" x14ac:dyDescent="0.2">
      <c r="A108" s="139"/>
      <c r="B108" s="123"/>
      <c r="C108" s="237"/>
      <c r="D108" s="249"/>
      <c r="E108" s="128"/>
      <c r="F108" s="142"/>
      <c r="G108" s="143"/>
      <c r="H108" s="557" t="s">
        <v>430</v>
      </c>
      <c r="I108" s="527" t="s">
        <v>383</v>
      </c>
      <c r="J108" s="401" t="s">
        <v>395</v>
      </c>
      <c r="K108" s="453"/>
      <c r="L108" s="558"/>
      <c r="M108" s="517" t="s">
        <v>383</v>
      </c>
      <c r="N108" s="401" t="s">
        <v>431</v>
      </c>
      <c r="O108" s="524"/>
      <c r="P108" s="401"/>
      <c r="Q108" s="426"/>
      <c r="R108" s="426"/>
      <c r="S108" s="426"/>
      <c r="T108" s="426"/>
      <c r="U108" s="426"/>
      <c r="V108" s="426"/>
      <c r="W108" s="426"/>
      <c r="X108" s="427"/>
      <c r="Y108" s="154"/>
      <c r="Z108" s="126"/>
      <c r="AA108" s="126"/>
      <c r="AB108" s="148"/>
      <c r="AC108" s="154"/>
      <c r="AD108" s="126"/>
      <c r="AE108" s="147"/>
      <c r="AF108" s="148"/>
      <c r="AG108" s="109"/>
      <c r="AI108" s="109" t="str">
        <f>"68:field223:" &amp; IF(I108="■",1,IF(M108="■",2,0))</f>
        <v>68:field223:0</v>
      </c>
    </row>
    <row r="109" spans="1:37" ht="19.5" customHeight="1" x14ac:dyDescent="0.2">
      <c r="A109" s="125" t="s">
        <v>383</v>
      </c>
      <c r="B109" s="123">
        <v>68</v>
      </c>
      <c r="C109" s="237" t="s">
        <v>555</v>
      </c>
      <c r="D109" s="118" t="s">
        <v>383</v>
      </c>
      <c r="E109" s="128" t="s">
        <v>548</v>
      </c>
      <c r="F109" s="142"/>
      <c r="G109" s="143"/>
      <c r="H109" s="563" t="s">
        <v>448</v>
      </c>
      <c r="I109" s="527" t="s">
        <v>383</v>
      </c>
      <c r="J109" s="401" t="s">
        <v>395</v>
      </c>
      <c r="K109" s="453"/>
      <c r="L109" s="558"/>
      <c r="M109" s="517" t="s">
        <v>383</v>
      </c>
      <c r="N109" s="401" t="s">
        <v>431</v>
      </c>
      <c r="O109" s="524"/>
      <c r="P109" s="401"/>
      <c r="Q109" s="426"/>
      <c r="R109" s="426"/>
      <c r="S109" s="426"/>
      <c r="T109" s="426"/>
      <c r="U109" s="426"/>
      <c r="V109" s="426"/>
      <c r="W109" s="426"/>
      <c r="X109" s="427"/>
      <c r="Y109" s="154"/>
      <c r="Z109" s="126"/>
      <c r="AA109" s="126"/>
      <c r="AB109" s="148"/>
      <c r="AC109" s="154"/>
      <c r="AD109" s="126"/>
      <c r="AE109" s="147"/>
      <c r="AF109" s="148"/>
      <c r="AI109" s="109" t="str">
        <f>"68:field232:" &amp; IF(I109="■",1,IF(M109="■",2,0))</f>
        <v>68:field232:0</v>
      </c>
    </row>
    <row r="110" spans="1:37" ht="18.75" customHeight="1" x14ac:dyDescent="0.2">
      <c r="A110" s="139"/>
      <c r="B110" s="123"/>
      <c r="C110" s="237" t="s">
        <v>556</v>
      </c>
      <c r="D110" s="125" t="s">
        <v>383</v>
      </c>
      <c r="E110" s="128" t="s">
        <v>549</v>
      </c>
      <c r="F110" s="142"/>
      <c r="G110" s="270"/>
      <c r="H110" s="770" t="s">
        <v>478</v>
      </c>
      <c r="I110" s="847" t="s">
        <v>781</v>
      </c>
      <c r="J110" s="774" t="s">
        <v>256</v>
      </c>
      <c r="K110" s="774"/>
      <c r="L110" s="774"/>
      <c r="M110" s="847" t="s">
        <v>383</v>
      </c>
      <c r="N110" s="774" t="s">
        <v>257</v>
      </c>
      <c r="O110" s="774"/>
      <c r="P110" s="774"/>
      <c r="Q110" s="428"/>
      <c r="R110" s="428"/>
      <c r="S110" s="428"/>
      <c r="T110" s="428"/>
      <c r="U110" s="428"/>
      <c r="V110" s="428"/>
      <c r="W110" s="428"/>
      <c r="X110" s="541"/>
      <c r="Y110" s="154"/>
      <c r="Z110" s="147"/>
      <c r="AA110" s="147"/>
      <c r="AB110" s="148"/>
      <c r="AC110" s="154"/>
      <c r="AD110" s="147"/>
      <c r="AE110" s="147"/>
      <c r="AF110" s="148"/>
      <c r="AI110" s="109" t="str">
        <f>"68:chuusankanti_tiiki_code:" &amp; IF(I110="■",1,IF(M110="■",2,0))</f>
        <v>68:chuusankanti_tiiki_code:1</v>
      </c>
    </row>
    <row r="111" spans="1:37" ht="18.75" customHeight="1" x14ac:dyDescent="0.2">
      <c r="A111" s="139"/>
      <c r="B111" s="123"/>
      <c r="C111" s="140"/>
      <c r="D111" s="142"/>
      <c r="E111" s="128" t="s">
        <v>551</v>
      </c>
      <c r="F111" s="142"/>
      <c r="G111" s="270"/>
      <c r="H111" s="771"/>
      <c r="I111" s="848"/>
      <c r="J111" s="775"/>
      <c r="K111" s="775"/>
      <c r="L111" s="775"/>
      <c r="M111" s="848"/>
      <c r="N111" s="775"/>
      <c r="O111" s="775"/>
      <c r="P111" s="775"/>
      <c r="Q111" s="426"/>
      <c r="R111" s="426"/>
      <c r="S111" s="426"/>
      <c r="T111" s="426"/>
      <c r="U111" s="426"/>
      <c r="V111" s="426"/>
      <c r="W111" s="426"/>
      <c r="X111" s="427"/>
      <c r="Y111" s="154"/>
      <c r="Z111" s="147"/>
      <c r="AA111" s="147"/>
      <c r="AB111" s="148"/>
      <c r="AC111" s="154"/>
      <c r="AD111" s="147"/>
      <c r="AE111" s="147"/>
      <c r="AF111" s="148"/>
    </row>
    <row r="112" spans="1:37" ht="18.75" customHeight="1" x14ac:dyDescent="0.2">
      <c r="A112" s="139"/>
      <c r="B112" s="123"/>
      <c r="C112" s="237"/>
      <c r="D112" s="142"/>
      <c r="E112" s="128"/>
      <c r="F112" s="142"/>
      <c r="G112" s="270"/>
      <c r="H112" s="423" t="s">
        <v>442</v>
      </c>
      <c r="I112" s="406" t="s">
        <v>383</v>
      </c>
      <c r="J112" s="345" t="s">
        <v>250</v>
      </c>
      <c r="K112" s="345"/>
      <c r="L112" s="408" t="s">
        <v>383</v>
      </c>
      <c r="M112" s="345" t="s">
        <v>251</v>
      </c>
      <c r="N112" s="345"/>
      <c r="O112" s="408" t="s">
        <v>383</v>
      </c>
      <c r="P112" s="345" t="s">
        <v>252</v>
      </c>
      <c r="Q112" s="346"/>
      <c r="R112" s="346"/>
      <c r="S112" s="346"/>
      <c r="T112" s="346"/>
      <c r="U112" s="424"/>
      <c r="V112" s="424"/>
      <c r="W112" s="424"/>
      <c r="X112" s="425"/>
      <c r="Y112" s="154"/>
      <c r="Z112" s="147"/>
      <c r="AA112" s="147"/>
      <c r="AB112" s="148"/>
      <c r="AC112" s="154"/>
      <c r="AD112" s="147"/>
      <c r="AE112" s="147"/>
      <c r="AF112" s="148"/>
      <c r="AI112" s="109" t="str">
        <f>"68:field225:" &amp; IF(I112="■",1,IF(L112="■",2,IF(O112="■",3,0)))</f>
        <v>68:field225:0</v>
      </c>
    </row>
    <row r="113" spans="1:37" ht="18.75" customHeight="1" x14ac:dyDescent="0.2">
      <c r="A113" s="139"/>
      <c r="B113" s="123"/>
      <c r="C113" s="140"/>
      <c r="D113" s="142"/>
      <c r="E113" s="128"/>
      <c r="F113" s="142"/>
      <c r="G113" s="270"/>
      <c r="H113" s="477" t="s">
        <v>118</v>
      </c>
      <c r="I113" s="406" t="s">
        <v>383</v>
      </c>
      <c r="J113" s="345" t="s">
        <v>250</v>
      </c>
      <c r="K113" s="345"/>
      <c r="L113" s="408" t="s">
        <v>383</v>
      </c>
      <c r="M113" s="345" t="s">
        <v>258</v>
      </c>
      <c r="N113" s="345"/>
      <c r="O113" s="408" t="s">
        <v>383</v>
      </c>
      <c r="P113" s="345" t="s">
        <v>259</v>
      </c>
      <c r="Q113" s="430"/>
      <c r="R113" s="408" t="s">
        <v>383</v>
      </c>
      <c r="S113" s="345" t="s">
        <v>283</v>
      </c>
      <c r="T113" s="430"/>
      <c r="U113" s="430"/>
      <c r="V113" s="430"/>
      <c r="W113" s="430"/>
      <c r="X113" s="431"/>
      <c r="Y113" s="154"/>
      <c r="Z113" s="147"/>
      <c r="AA113" s="147"/>
      <c r="AB113" s="148"/>
      <c r="AC113" s="154"/>
      <c r="AD113" s="147"/>
      <c r="AE113" s="147"/>
      <c r="AF113" s="148"/>
      <c r="AI113" s="109" t="str">
        <f>"68:serteikyo_kyoka_code:" &amp; IF(I113="■",1,IF(L113="■",6,IF(O113="■",5,IF(R113="■",7,0))))</f>
        <v>68:serteikyo_kyoka_code:0</v>
      </c>
    </row>
    <row r="114" spans="1:37" s="621" customFormat="1" ht="18.75" customHeight="1" x14ac:dyDescent="0.2">
      <c r="A114" s="139"/>
      <c r="B114" s="670"/>
      <c r="C114" s="140"/>
      <c r="D114" s="141"/>
      <c r="E114" s="128"/>
      <c r="F114" s="142"/>
      <c r="G114" s="143"/>
      <c r="H114" s="713" t="s">
        <v>790</v>
      </c>
      <c r="I114" s="642" t="s">
        <v>383</v>
      </c>
      <c r="J114" s="616" t="s">
        <v>627</v>
      </c>
      <c r="K114" s="616"/>
      <c r="L114" s="615"/>
      <c r="M114" s="644" t="s">
        <v>383</v>
      </c>
      <c r="N114" s="616" t="s">
        <v>791</v>
      </c>
      <c r="O114" s="617"/>
      <c r="P114" s="615"/>
      <c r="Q114" s="644" t="s">
        <v>383</v>
      </c>
      <c r="R114" s="618" t="s">
        <v>792</v>
      </c>
      <c r="S114" s="615"/>
      <c r="T114" s="615"/>
      <c r="U114" s="615"/>
      <c r="V114" s="618"/>
      <c r="W114" s="619"/>
      <c r="X114" s="620"/>
      <c r="Y114" s="154"/>
      <c r="Z114" s="147"/>
      <c r="AA114" s="147"/>
      <c r="AB114" s="148"/>
      <c r="AC114" s="154"/>
      <c r="AD114" s="147"/>
      <c r="AE114" s="147"/>
      <c r="AF114" s="148"/>
    </row>
    <row r="115" spans="1:37" s="621" customFormat="1" ht="18.75" customHeight="1" x14ac:dyDescent="0.2">
      <c r="A115" s="183"/>
      <c r="B115" s="658"/>
      <c r="C115" s="185"/>
      <c r="D115" s="186"/>
      <c r="E115" s="187"/>
      <c r="F115" s="188"/>
      <c r="G115" s="189"/>
      <c r="H115" s="714"/>
      <c r="I115" s="643" t="s">
        <v>383</v>
      </c>
      <c r="J115" s="623" t="s">
        <v>793</v>
      </c>
      <c r="K115" s="623"/>
      <c r="L115" s="622"/>
      <c r="M115" s="211" t="s">
        <v>383</v>
      </c>
      <c r="N115" s="623" t="s">
        <v>794</v>
      </c>
      <c r="O115" s="624"/>
      <c r="P115" s="622"/>
      <c r="Q115" s="211" t="s">
        <v>383</v>
      </c>
      <c r="R115" s="623" t="s">
        <v>795</v>
      </c>
      <c r="S115" s="622"/>
      <c r="T115" s="623"/>
      <c r="U115" s="211" t="s">
        <v>383</v>
      </c>
      <c r="V115" s="623" t="s">
        <v>796</v>
      </c>
      <c r="W115" s="625"/>
      <c r="X115" s="626"/>
      <c r="Y115" s="194"/>
      <c r="Z115" s="147"/>
      <c r="AA115" s="147"/>
      <c r="AB115" s="148"/>
      <c r="AC115" s="194"/>
      <c r="AD115" s="147"/>
      <c r="AE115" s="147"/>
      <c r="AF115" s="148"/>
    </row>
    <row r="116" spans="1:37" ht="18.75" customHeight="1" x14ac:dyDescent="0.2">
      <c r="A116" s="129"/>
      <c r="B116" s="116"/>
      <c r="C116" s="233"/>
      <c r="D116" s="132"/>
      <c r="E116" s="121"/>
      <c r="F116" s="258"/>
      <c r="G116" s="136"/>
      <c r="H116" s="316" t="s">
        <v>97</v>
      </c>
      <c r="I116" s="196" t="s">
        <v>383</v>
      </c>
      <c r="J116" s="197" t="s">
        <v>300</v>
      </c>
      <c r="K116" s="198"/>
      <c r="L116" s="199"/>
      <c r="M116" s="200" t="s">
        <v>383</v>
      </c>
      <c r="N116" s="197" t="s">
        <v>301</v>
      </c>
      <c r="O116" s="201"/>
      <c r="P116" s="201"/>
      <c r="Q116" s="201"/>
      <c r="R116" s="201"/>
      <c r="S116" s="201"/>
      <c r="T116" s="201"/>
      <c r="U116" s="201"/>
      <c r="V116" s="201"/>
      <c r="W116" s="201"/>
      <c r="X116" s="202"/>
      <c r="Y116" s="138" t="s">
        <v>383</v>
      </c>
      <c r="Z116" s="119" t="s">
        <v>249</v>
      </c>
      <c r="AA116" s="119"/>
      <c r="AB116" s="137"/>
      <c r="AC116" s="138" t="s">
        <v>383</v>
      </c>
      <c r="AD116" s="119" t="s">
        <v>249</v>
      </c>
      <c r="AE116" s="119"/>
      <c r="AF116" s="137"/>
      <c r="AG116" s="109" t="str">
        <f>"ser_code = '" &amp; IF(A126="■",32,"") &amp; "'"</f>
        <v>ser_code = ''</v>
      </c>
      <c r="AH116" s="109"/>
      <c r="AI116" s="109" t="str">
        <f>"32:yakan_kinmu_code:" &amp; IF(I116="■",1,IF(M116="■",6,0))</f>
        <v>32:yakan_kinmu_code:0</v>
      </c>
      <c r="AJ116" s="109" t="str">
        <f>"32:field203:" &amp; IF(Y116="■",1,IF(Y117="■",2,0))</f>
        <v>32:field203:0</v>
      </c>
      <c r="AK116" s="109" t="str">
        <f>"32:waribiki_code:" &amp; IF(AC116="■",1,IF(AC117="■",2,0))</f>
        <v>32:waribiki_code:0</v>
      </c>
    </row>
    <row r="117" spans="1:37" ht="18.75" customHeight="1" x14ac:dyDescent="0.2">
      <c r="A117" s="139"/>
      <c r="B117" s="123"/>
      <c r="C117" s="237"/>
      <c r="D117" s="142"/>
      <c r="E117" s="128"/>
      <c r="F117" s="260"/>
      <c r="G117" s="270"/>
      <c r="H117" s="245" t="s">
        <v>93</v>
      </c>
      <c r="I117" s="156" t="s">
        <v>383</v>
      </c>
      <c r="J117" s="157" t="s">
        <v>250</v>
      </c>
      <c r="K117" s="157"/>
      <c r="L117" s="159"/>
      <c r="M117" s="160" t="s">
        <v>383</v>
      </c>
      <c r="N117" s="157" t="s">
        <v>557</v>
      </c>
      <c r="O117" s="157"/>
      <c r="P117" s="159"/>
      <c r="Q117" s="158"/>
      <c r="R117" s="158"/>
      <c r="S117" s="158"/>
      <c r="T117" s="158"/>
      <c r="U117" s="158"/>
      <c r="V117" s="158"/>
      <c r="W117" s="158"/>
      <c r="X117" s="166"/>
      <c r="Y117" s="125" t="s">
        <v>383</v>
      </c>
      <c r="Z117" s="126" t="s">
        <v>255</v>
      </c>
      <c r="AA117" s="147"/>
      <c r="AB117" s="148"/>
      <c r="AC117" s="125" t="s">
        <v>383</v>
      </c>
      <c r="AD117" s="126" t="s">
        <v>255</v>
      </c>
      <c r="AE117" s="147"/>
      <c r="AF117" s="148"/>
      <c r="AG117" s="109" t="str">
        <f>"32:sisetukbn_code:" &amp; IF(D126="■",1,IF(D127="■",2,IF(D128="■",3,IF(D129="■",4,0))))</f>
        <v>32:sisetukbn_code:0</v>
      </c>
      <c r="AI117" s="109" t="str">
        <f>"32:"&amp;IF(AND(I117="□",M117="□"),"ketu_kaigoj_code:0",IF(I117="■","ketu_kaigoj_code:1",IF(M117="■","ketu_kaigoj_code:2","ketu_kaigoj_code:1")))</f>
        <v>32:ketu_kaigoj_code:0</v>
      </c>
    </row>
    <row r="118" spans="1:37" ht="18.75" customHeight="1" x14ac:dyDescent="0.2">
      <c r="A118" s="139"/>
      <c r="B118" s="123"/>
      <c r="C118" s="237"/>
      <c r="D118" s="142"/>
      <c r="E118" s="128"/>
      <c r="F118" s="260"/>
      <c r="G118" s="270"/>
      <c r="H118" s="204" t="s">
        <v>185</v>
      </c>
      <c r="I118" s="156" t="s">
        <v>383</v>
      </c>
      <c r="J118" s="157" t="s">
        <v>395</v>
      </c>
      <c r="K118" s="158"/>
      <c r="L118" s="159"/>
      <c r="M118" s="160" t="s">
        <v>383</v>
      </c>
      <c r="N118" s="157" t="s">
        <v>396</v>
      </c>
      <c r="O118" s="162"/>
      <c r="P118" s="162"/>
      <c r="Q118" s="158"/>
      <c r="R118" s="158"/>
      <c r="S118" s="158"/>
      <c r="T118" s="158"/>
      <c r="U118" s="158"/>
      <c r="V118" s="158"/>
      <c r="W118" s="158"/>
      <c r="X118" s="166"/>
      <c r="Y118" s="154"/>
      <c r="Z118" s="147"/>
      <c r="AA118" s="147"/>
      <c r="AB118" s="148"/>
      <c r="AC118" s="154"/>
      <c r="AD118" s="147"/>
      <c r="AE118" s="147"/>
      <c r="AF118" s="148"/>
      <c r="AI118" s="109" t="str">
        <f>"32:sintaikousoku_code:" &amp; IF(I118="■",1,IF(M118="■",2,0))</f>
        <v>32:sintaikousoku_code:0</v>
      </c>
    </row>
    <row r="119" spans="1:37" ht="19.5" customHeight="1" x14ac:dyDescent="0.2">
      <c r="A119" s="139"/>
      <c r="B119" s="123"/>
      <c r="C119" s="140"/>
      <c r="D119" s="141"/>
      <c r="E119" s="128"/>
      <c r="F119" s="142"/>
      <c r="G119" s="143"/>
      <c r="H119" s="155" t="s">
        <v>430</v>
      </c>
      <c r="I119" s="156" t="s">
        <v>383</v>
      </c>
      <c r="J119" s="157" t="s">
        <v>395</v>
      </c>
      <c r="K119" s="158"/>
      <c r="L119" s="159"/>
      <c r="M119" s="160" t="s">
        <v>383</v>
      </c>
      <c r="N119" s="157" t="s">
        <v>431</v>
      </c>
      <c r="O119" s="161"/>
      <c r="P119" s="157"/>
      <c r="Q119" s="162"/>
      <c r="R119" s="162"/>
      <c r="S119" s="162"/>
      <c r="T119" s="162"/>
      <c r="U119" s="162"/>
      <c r="V119" s="162"/>
      <c r="W119" s="162"/>
      <c r="X119" s="163"/>
      <c r="Y119" s="147"/>
      <c r="Z119" s="147"/>
      <c r="AA119" s="147"/>
      <c r="AB119" s="148"/>
      <c r="AC119" s="154"/>
      <c r="AD119" s="147"/>
      <c r="AE119" s="147"/>
      <c r="AF119" s="148"/>
      <c r="AI119" s="109" t="str">
        <f>"32:field223:" &amp; IF(I119="■",1,IF(M119="■",2,0))</f>
        <v>32:field223:0</v>
      </c>
    </row>
    <row r="120" spans="1:37" ht="19.5" customHeight="1" x14ac:dyDescent="0.2">
      <c r="A120" s="139"/>
      <c r="B120" s="123"/>
      <c r="C120" s="140"/>
      <c r="D120" s="141"/>
      <c r="E120" s="128"/>
      <c r="F120" s="142"/>
      <c r="G120" s="143"/>
      <c r="H120" s="155" t="s">
        <v>448</v>
      </c>
      <c r="I120" s="156" t="s">
        <v>383</v>
      </c>
      <c r="J120" s="157" t="s">
        <v>395</v>
      </c>
      <c r="K120" s="158"/>
      <c r="L120" s="159"/>
      <c r="M120" s="160" t="s">
        <v>383</v>
      </c>
      <c r="N120" s="157" t="s">
        <v>431</v>
      </c>
      <c r="O120" s="161"/>
      <c r="P120" s="157"/>
      <c r="Q120" s="162"/>
      <c r="R120" s="162"/>
      <c r="S120" s="162"/>
      <c r="T120" s="162"/>
      <c r="U120" s="162"/>
      <c r="V120" s="162"/>
      <c r="W120" s="162"/>
      <c r="X120" s="163"/>
      <c r="Y120" s="147"/>
      <c r="Z120" s="147"/>
      <c r="AA120" s="147"/>
      <c r="AB120" s="148"/>
      <c r="AC120" s="154"/>
      <c r="AD120" s="147"/>
      <c r="AE120" s="147"/>
      <c r="AF120" s="148"/>
      <c r="AI120" s="109" t="str">
        <f>"32:field232:" &amp; IF(I120="■",1,IF(M120="■",2,0))</f>
        <v>32:field232:0</v>
      </c>
    </row>
    <row r="121" spans="1:37" ht="18.75" customHeight="1" x14ac:dyDescent="0.2">
      <c r="A121" s="139"/>
      <c r="B121" s="123"/>
      <c r="C121" s="237"/>
      <c r="D121" s="142"/>
      <c r="E121" s="128"/>
      <c r="F121" s="260"/>
      <c r="G121" s="270"/>
      <c r="H121" s="853" t="s">
        <v>558</v>
      </c>
      <c r="I121" s="707" t="s">
        <v>383</v>
      </c>
      <c r="J121" s="708" t="s">
        <v>250</v>
      </c>
      <c r="K121" s="708"/>
      <c r="L121" s="707" t="s">
        <v>383</v>
      </c>
      <c r="M121" s="708" t="s">
        <v>267</v>
      </c>
      <c r="N121" s="708"/>
      <c r="O121" s="168"/>
      <c r="P121" s="168"/>
      <c r="Q121" s="168"/>
      <c r="R121" s="168"/>
      <c r="S121" s="168"/>
      <c r="T121" s="168"/>
      <c r="U121" s="168"/>
      <c r="V121" s="168"/>
      <c r="W121" s="168"/>
      <c r="X121" s="173"/>
      <c r="Y121" s="154"/>
      <c r="Z121" s="147"/>
      <c r="AA121" s="147"/>
      <c r="AB121" s="148"/>
      <c r="AC121" s="154"/>
      <c r="AD121" s="147"/>
      <c r="AE121" s="147"/>
      <c r="AF121" s="148"/>
      <c r="AI121" s="109" t="str">
        <f>"32:field219:" &amp; IF(I121="■",1,IF(L121="■",2,0))</f>
        <v>32:field219:0</v>
      </c>
    </row>
    <row r="122" spans="1:37" ht="18.75" customHeight="1" x14ac:dyDescent="0.2">
      <c r="A122" s="139"/>
      <c r="B122" s="123"/>
      <c r="C122" s="237"/>
      <c r="D122" s="142"/>
      <c r="E122" s="128"/>
      <c r="F122" s="260"/>
      <c r="G122" s="270"/>
      <c r="H122" s="854"/>
      <c r="I122" s="696"/>
      <c r="J122" s="698"/>
      <c r="K122" s="698"/>
      <c r="L122" s="696"/>
      <c r="M122" s="698"/>
      <c r="N122" s="698"/>
      <c r="O122" s="169"/>
      <c r="P122" s="169"/>
      <c r="Q122" s="169"/>
      <c r="R122" s="169"/>
      <c r="S122" s="169"/>
      <c r="T122" s="169"/>
      <c r="U122" s="169"/>
      <c r="V122" s="169"/>
      <c r="W122" s="169"/>
      <c r="X122" s="170"/>
      <c r="Y122" s="154"/>
      <c r="Z122" s="147"/>
      <c r="AA122" s="147"/>
      <c r="AB122" s="148"/>
      <c r="AC122" s="154"/>
      <c r="AD122" s="147"/>
      <c r="AE122" s="147"/>
      <c r="AF122" s="148"/>
    </row>
    <row r="123" spans="1:37" ht="18.75" customHeight="1" x14ac:dyDescent="0.2">
      <c r="A123" s="139"/>
      <c r="B123" s="123"/>
      <c r="C123" s="237"/>
      <c r="D123" s="142"/>
      <c r="E123" s="128"/>
      <c r="F123" s="260"/>
      <c r="G123" s="270"/>
      <c r="H123" s="245" t="s">
        <v>559</v>
      </c>
      <c r="I123" s="175" t="s">
        <v>383</v>
      </c>
      <c r="J123" s="157" t="s">
        <v>250</v>
      </c>
      <c r="K123" s="157"/>
      <c r="L123" s="160" t="s">
        <v>383</v>
      </c>
      <c r="M123" s="157" t="s">
        <v>251</v>
      </c>
      <c r="N123" s="157"/>
      <c r="O123" s="206" t="s">
        <v>383</v>
      </c>
      <c r="P123" s="157" t="s">
        <v>252</v>
      </c>
      <c r="Q123" s="207"/>
      <c r="R123" s="207"/>
      <c r="S123" s="207"/>
      <c r="T123" s="207"/>
      <c r="U123" s="207"/>
      <c r="V123" s="207"/>
      <c r="W123" s="207"/>
      <c r="X123" s="208"/>
      <c r="Y123" s="154"/>
      <c r="Z123" s="147"/>
      <c r="AA123" s="147"/>
      <c r="AB123" s="148"/>
      <c r="AC123" s="154"/>
      <c r="AD123" s="147"/>
      <c r="AE123" s="147"/>
      <c r="AF123" s="148"/>
      <c r="AI123" s="109" t="str">
        <f>"32:field173:" &amp; IF(I123="■",1,IF(L123="■",2,IF(O123="■",3,0)))</f>
        <v>32:field173:0</v>
      </c>
    </row>
    <row r="124" spans="1:37" ht="18.75" customHeight="1" x14ac:dyDescent="0.2">
      <c r="A124" s="139"/>
      <c r="B124" s="123"/>
      <c r="C124" s="237"/>
      <c r="D124" s="142"/>
      <c r="E124" s="128"/>
      <c r="F124" s="260"/>
      <c r="G124" s="270"/>
      <c r="H124" s="245" t="s">
        <v>486</v>
      </c>
      <c r="I124" s="156" t="s">
        <v>383</v>
      </c>
      <c r="J124" s="157" t="s">
        <v>250</v>
      </c>
      <c r="K124" s="158"/>
      <c r="L124" s="160" t="s">
        <v>383</v>
      </c>
      <c r="M124" s="157" t="s">
        <v>267</v>
      </c>
      <c r="N124" s="207"/>
      <c r="O124" s="207"/>
      <c r="P124" s="207"/>
      <c r="Q124" s="207"/>
      <c r="R124" s="207"/>
      <c r="S124" s="207"/>
      <c r="T124" s="207"/>
      <c r="U124" s="207"/>
      <c r="V124" s="207"/>
      <c r="W124" s="207"/>
      <c r="X124" s="208"/>
      <c r="Y124" s="154"/>
      <c r="Z124" s="147"/>
      <c r="AA124" s="147"/>
      <c r="AB124" s="148"/>
      <c r="AC124" s="154"/>
      <c r="AD124" s="147"/>
      <c r="AE124" s="147"/>
      <c r="AF124" s="148"/>
      <c r="AI124" s="109" t="str">
        <f>"32:jyakuninti_uke_code:" &amp; IF(I124="■",1,IF(L124="■",2,0))</f>
        <v>32:jyakuninti_uke_code:0</v>
      </c>
    </row>
    <row r="125" spans="1:37" ht="18.75" customHeight="1" x14ac:dyDescent="0.2">
      <c r="A125" s="139"/>
      <c r="B125" s="123"/>
      <c r="C125" s="237"/>
      <c r="D125" s="142"/>
      <c r="E125" s="128"/>
      <c r="F125" s="260"/>
      <c r="G125" s="270"/>
      <c r="H125" s="204" t="s">
        <v>562</v>
      </c>
      <c r="I125" s="156" t="s">
        <v>383</v>
      </c>
      <c r="J125" s="157" t="s">
        <v>265</v>
      </c>
      <c r="K125" s="158"/>
      <c r="L125" s="159"/>
      <c r="M125" s="160" t="s">
        <v>383</v>
      </c>
      <c r="N125" s="157" t="s">
        <v>266</v>
      </c>
      <c r="O125" s="162"/>
      <c r="P125" s="162"/>
      <c r="Q125" s="162"/>
      <c r="R125" s="162"/>
      <c r="S125" s="162"/>
      <c r="T125" s="162"/>
      <c r="U125" s="162"/>
      <c r="V125" s="162"/>
      <c r="W125" s="162"/>
      <c r="X125" s="163"/>
      <c r="Y125" s="154"/>
      <c r="Z125" s="147"/>
      <c r="AA125" s="147"/>
      <c r="AB125" s="148"/>
      <c r="AC125" s="154"/>
      <c r="AD125" s="147"/>
      <c r="AE125" s="147"/>
      <c r="AF125" s="148"/>
      <c r="AI125" s="109" t="str">
        <f>"32:field196:" &amp; IF(I125="■",1,IF(M125="■",2,0))</f>
        <v>32:field196:0</v>
      </c>
    </row>
    <row r="126" spans="1:37" ht="18.75" customHeight="1" x14ac:dyDescent="0.2">
      <c r="A126" s="125" t="s">
        <v>383</v>
      </c>
      <c r="B126" s="123">
        <v>32</v>
      </c>
      <c r="C126" s="237" t="s">
        <v>560</v>
      </c>
      <c r="D126" s="125" t="s">
        <v>383</v>
      </c>
      <c r="E126" s="128" t="s">
        <v>379</v>
      </c>
      <c r="F126" s="260"/>
      <c r="G126" s="270"/>
      <c r="H126" s="245" t="s">
        <v>119</v>
      </c>
      <c r="I126" s="156" t="s">
        <v>383</v>
      </c>
      <c r="J126" s="157" t="s">
        <v>250</v>
      </c>
      <c r="K126" s="158"/>
      <c r="L126" s="160" t="s">
        <v>383</v>
      </c>
      <c r="M126" s="157" t="s">
        <v>267</v>
      </c>
      <c r="N126" s="207"/>
      <c r="O126" s="207"/>
      <c r="P126" s="207"/>
      <c r="Q126" s="207"/>
      <c r="R126" s="207"/>
      <c r="S126" s="207"/>
      <c r="T126" s="207"/>
      <c r="U126" s="207"/>
      <c r="V126" s="207"/>
      <c r="W126" s="207"/>
      <c r="X126" s="208"/>
      <c r="Y126" s="154"/>
      <c r="Z126" s="147"/>
      <c r="AA126" s="147"/>
      <c r="AB126" s="148"/>
      <c r="AC126" s="154"/>
      <c r="AD126" s="147"/>
      <c r="AE126" s="147"/>
      <c r="AF126" s="148"/>
      <c r="AI126" s="109" t="str">
        <f>"32:terminal_code:" &amp; IF(I126="■",1,IF(L126="■",2,0))</f>
        <v>32:terminal_code:0</v>
      </c>
    </row>
    <row r="127" spans="1:37" ht="18.75" customHeight="1" x14ac:dyDescent="0.2">
      <c r="A127" s="139"/>
      <c r="B127" s="123"/>
      <c r="C127" s="237" t="s">
        <v>561</v>
      </c>
      <c r="D127" s="125" t="s">
        <v>383</v>
      </c>
      <c r="E127" s="128" t="s">
        <v>365</v>
      </c>
      <c r="F127" s="260"/>
      <c r="G127" s="270"/>
      <c r="H127" s="245" t="s">
        <v>565</v>
      </c>
      <c r="I127" s="175" t="s">
        <v>383</v>
      </c>
      <c r="J127" s="157" t="s">
        <v>250</v>
      </c>
      <c r="K127" s="157"/>
      <c r="L127" s="160" t="s">
        <v>383</v>
      </c>
      <c r="M127" s="157" t="s">
        <v>566</v>
      </c>
      <c r="N127" s="157"/>
      <c r="O127" s="176"/>
      <c r="P127" s="206" t="s">
        <v>383</v>
      </c>
      <c r="Q127" s="157" t="s">
        <v>285</v>
      </c>
      <c r="R127" s="176"/>
      <c r="S127" s="157"/>
      <c r="T127" s="206" t="s">
        <v>383</v>
      </c>
      <c r="U127" s="157" t="s">
        <v>567</v>
      </c>
      <c r="V127" s="207"/>
      <c r="W127" s="207"/>
      <c r="X127" s="208"/>
      <c r="Y127" s="154"/>
      <c r="Z127" s="147"/>
      <c r="AA127" s="147"/>
      <c r="AB127" s="148"/>
      <c r="AC127" s="154"/>
      <c r="AD127" s="147"/>
      <c r="AE127" s="147"/>
      <c r="AF127" s="148"/>
      <c r="AI127" s="109" t="str">
        <f>"32:iryo_renkei_code:" &amp; IF(I127="■",1,IF(L127="■",2,IF(P127="■",3,IF(T127="■",4,0))))</f>
        <v>32:iryo_renkei_code:0</v>
      </c>
    </row>
    <row r="128" spans="1:37" ht="18.75" customHeight="1" x14ac:dyDescent="0.2">
      <c r="A128" s="139"/>
      <c r="B128" s="123"/>
      <c r="C128" s="248"/>
      <c r="D128" s="125" t="s">
        <v>383</v>
      </c>
      <c r="E128" s="128" t="s">
        <v>563</v>
      </c>
      <c r="F128" s="260"/>
      <c r="G128" s="270"/>
      <c r="H128" s="245" t="s">
        <v>568</v>
      </c>
      <c r="I128" s="175" t="s">
        <v>383</v>
      </c>
      <c r="J128" s="157" t="s">
        <v>250</v>
      </c>
      <c r="K128" s="157"/>
      <c r="L128" s="160" t="s">
        <v>383</v>
      </c>
      <c r="M128" s="169" t="s">
        <v>267</v>
      </c>
      <c r="N128" s="157"/>
      <c r="O128" s="207"/>
      <c r="P128" s="207"/>
      <c r="Q128" s="207"/>
      <c r="R128" s="207"/>
      <c r="S128" s="207"/>
      <c r="T128" s="207"/>
      <c r="U128" s="207"/>
      <c r="V128" s="207"/>
      <c r="W128" s="207"/>
      <c r="X128" s="208"/>
      <c r="Y128" s="154"/>
      <c r="Z128" s="147"/>
      <c r="AA128" s="147"/>
      <c r="AB128" s="148"/>
      <c r="AC128" s="154"/>
      <c r="AD128" s="147"/>
      <c r="AE128" s="147"/>
      <c r="AF128" s="148"/>
      <c r="AI128" s="109" t="str">
        <f>"32:field222:" &amp; IF(I128="■",1,IF(L128="■",2,0))</f>
        <v>32:field222:0</v>
      </c>
    </row>
    <row r="129" spans="1:37" ht="18.75" customHeight="1" x14ac:dyDescent="0.2">
      <c r="A129" s="139"/>
      <c r="B129" s="123"/>
      <c r="C129" s="248"/>
      <c r="D129" s="125" t="s">
        <v>383</v>
      </c>
      <c r="E129" s="128" t="s">
        <v>564</v>
      </c>
      <c r="F129" s="260"/>
      <c r="G129" s="270"/>
      <c r="H129" s="245" t="s">
        <v>116</v>
      </c>
      <c r="I129" s="156" t="s">
        <v>383</v>
      </c>
      <c r="J129" s="157" t="s">
        <v>250</v>
      </c>
      <c r="K129" s="157"/>
      <c r="L129" s="160" t="s">
        <v>383</v>
      </c>
      <c r="M129" s="157" t="s">
        <v>251</v>
      </c>
      <c r="N129" s="157"/>
      <c r="O129" s="160" t="s">
        <v>383</v>
      </c>
      <c r="P129" s="157" t="s">
        <v>252</v>
      </c>
      <c r="Q129" s="207"/>
      <c r="R129" s="207"/>
      <c r="S129" s="207"/>
      <c r="T129" s="207"/>
      <c r="U129" s="207"/>
      <c r="V129" s="207"/>
      <c r="W129" s="207"/>
      <c r="X129" s="208"/>
      <c r="Y129" s="154"/>
      <c r="Z129" s="147"/>
      <c r="AA129" s="147"/>
      <c r="AB129" s="148"/>
      <c r="AC129" s="154"/>
      <c r="AD129" s="147"/>
      <c r="AE129" s="147"/>
      <c r="AF129" s="148"/>
      <c r="AI129" s="109" t="str">
        <f>"32:ninti_senmoncare_code:" &amp; IF(I129="■",1,IF(O129="■",3,IF(L129="■",2,0)))</f>
        <v>32:ninti_senmoncare_code:0</v>
      </c>
    </row>
    <row r="130" spans="1:37" ht="18.75" customHeight="1" x14ac:dyDescent="0.2">
      <c r="A130" s="139"/>
      <c r="B130" s="123"/>
      <c r="C130" s="237"/>
      <c r="D130" s="142"/>
      <c r="E130" s="128"/>
      <c r="F130" s="260"/>
      <c r="G130" s="270"/>
      <c r="H130" s="242" t="s">
        <v>447</v>
      </c>
      <c r="I130" s="156" t="s">
        <v>383</v>
      </c>
      <c r="J130" s="157" t="s">
        <v>250</v>
      </c>
      <c r="K130" s="157"/>
      <c r="L130" s="160" t="s">
        <v>383</v>
      </c>
      <c r="M130" s="157" t="s">
        <v>251</v>
      </c>
      <c r="N130" s="157"/>
      <c r="O130" s="160" t="s">
        <v>383</v>
      </c>
      <c r="P130" s="157" t="s">
        <v>252</v>
      </c>
      <c r="Q130" s="158"/>
      <c r="R130" s="158"/>
      <c r="S130" s="158"/>
      <c r="T130" s="158"/>
      <c r="U130" s="158"/>
      <c r="V130" s="158"/>
      <c r="W130" s="158"/>
      <c r="X130" s="166"/>
      <c r="Y130" s="154"/>
      <c r="Z130" s="147"/>
      <c r="AA130" s="147"/>
      <c r="AB130" s="148"/>
      <c r="AC130" s="154"/>
      <c r="AD130" s="147"/>
      <c r="AE130" s="147"/>
      <c r="AF130" s="148"/>
      <c r="AI130" s="109" t="str">
        <f>"32:field228:" &amp; IF(I130="■",1,IF(L130="■",2,IF(O130="■",3,0)))</f>
        <v>32:field228:0</v>
      </c>
    </row>
    <row r="131" spans="1:37" ht="18.75" customHeight="1" x14ac:dyDescent="0.2">
      <c r="A131" s="139"/>
      <c r="B131" s="123"/>
      <c r="C131" s="237"/>
      <c r="D131" s="142"/>
      <c r="E131" s="128"/>
      <c r="F131" s="260"/>
      <c r="G131" s="270"/>
      <c r="H131" s="164" t="s">
        <v>197</v>
      </c>
      <c r="I131" s="156" t="s">
        <v>383</v>
      </c>
      <c r="J131" s="157" t="s">
        <v>250</v>
      </c>
      <c r="K131" s="158"/>
      <c r="L131" s="160" t="s">
        <v>383</v>
      </c>
      <c r="M131" s="157" t="s">
        <v>267</v>
      </c>
      <c r="N131" s="207"/>
      <c r="O131" s="207"/>
      <c r="P131" s="207"/>
      <c r="Q131" s="207"/>
      <c r="R131" s="207"/>
      <c r="S131" s="207"/>
      <c r="T131" s="207"/>
      <c r="U131" s="207"/>
      <c r="V131" s="207"/>
      <c r="W131" s="207"/>
      <c r="X131" s="208"/>
      <c r="Y131" s="154"/>
      <c r="Z131" s="147"/>
      <c r="AA131" s="147"/>
      <c r="AB131" s="148"/>
      <c r="AC131" s="154"/>
      <c r="AD131" s="147"/>
      <c r="AE131" s="147"/>
      <c r="AF131" s="148"/>
      <c r="AI131" s="109" t="str">
        <f>"32:field212:" &amp; IF(I131="■",1,IF(L131="■",2,0))</f>
        <v>32:field212:0</v>
      </c>
    </row>
    <row r="132" spans="1:37" ht="18.75" customHeight="1" x14ac:dyDescent="0.2">
      <c r="A132" s="139"/>
      <c r="B132" s="123"/>
      <c r="C132" s="248"/>
      <c r="D132" s="142"/>
      <c r="E132" s="128"/>
      <c r="F132" s="142"/>
      <c r="G132" s="128"/>
      <c r="H132" s="242" t="s">
        <v>461</v>
      </c>
      <c r="I132" s="156" t="s">
        <v>383</v>
      </c>
      <c r="J132" s="157" t="s">
        <v>250</v>
      </c>
      <c r="K132" s="157"/>
      <c r="L132" s="160" t="s">
        <v>383</v>
      </c>
      <c r="M132" s="169" t="s">
        <v>267</v>
      </c>
      <c r="N132" s="157"/>
      <c r="O132" s="157"/>
      <c r="P132" s="157"/>
      <c r="Q132" s="158"/>
      <c r="R132" s="158"/>
      <c r="S132" s="158"/>
      <c r="T132" s="158"/>
      <c r="U132" s="158"/>
      <c r="V132" s="158"/>
      <c r="W132" s="158"/>
      <c r="X132" s="166"/>
      <c r="Y132" s="154"/>
      <c r="Z132" s="147"/>
      <c r="AA132" s="147"/>
      <c r="AB132" s="148"/>
      <c r="AC132" s="154"/>
      <c r="AD132" s="147"/>
      <c r="AE132" s="147"/>
      <c r="AF132" s="148"/>
      <c r="AI132" s="109" t="str">
        <f>"32:field226:" &amp; IF(I132="■",1,IF(L132="■",2,0))</f>
        <v>32:field226:0</v>
      </c>
    </row>
    <row r="133" spans="1:37" ht="18.75" customHeight="1" x14ac:dyDescent="0.2">
      <c r="A133" s="139"/>
      <c r="B133" s="123"/>
      <c r="C133" s="248"/>
      <c r="D133" s="142"/>
      <c r="E133" s="128"/>
      <c r="F133" s="142"/>
      <c r="G133" s="128"/>
      <c r="H133" s="242" t="s">
        <v>462</v>
      </c>
      <c r="I133" s="156" t="s">
        <v>383</v>
      </c>
      <c r="J133" s="157" t="s">
        <v>250</v>
      </c>
      <c r="K133" s="157"/>
      <c r="L133" s="160" t="s">
        <v>383</v>
      </c>
      <c r="M133" s="169" t="s">
        <v>267</v>
      </c>
      <c r="N133" s="157"/>
      <c r="O133" s="157"/>
      <c r="P133" s="157"/>
      <c r="Q133" s="158"/>
      <c r="R133" s="158"/>
      <c r="S133" s="158"/>
      <c r="T133" s="158"/>
      <c r="U133" s="158"/>
      <c r="V133" s="158"/>
      <c r="W133" s="158"/>
      <c r="X133" s="166"/>
      <c r="Y133" s="154"/>
      <c r="Z133" s="147"/>
      <c r="AA133" s="147"/>
      <c r="AB133" s="148"/>
      <c r="AC133" s="154"/>
      <c r="AD133" s="147"/>
      <c r="AE133" s="147"/>
      <c r="AF133" s="148"/>
      <c r="AI133" s="109" t="str">
        <f>"32:field227:" &amp; IF(I133="■",1,IF(L133="■",2,0))</f>
        <v>32:field227:0</v>
      </c>
    </row>
    <row r="134" spans="1:37" ht="18.75" customHeight="1" x14ac:dyDescent="0.2">
      <c r="A134" s="139"/>
      <c r="B134" s="123"/>
      <c r="C134" s="237"/>
      <c r="D134" s="142"/>
      <c r="E134" s="128"/>
      <c r="F134" s="260"/>
      <c r="G134" s="270"/>
      <c r="H134" s="250" t="s">
        <v>442</v>
      </c>
      <c r="I134" s="156" t="s">
        <v>383</v>
      </c>
      <c r="J134" s="157" t="s">
        <v>250</v>
      </c>
      <c r="K134" s="157"/>
      <c r="L134" s="160" t="s">
        <v>383</v>
      </c>
      <c r="M134" s="157" t="s">
        <v>251</v>
      </c>
      <c r="N134" s="157"/>
      <c r="O134" s="160" t="s">
        <v>383</v>
      </c>
      <c r="P134" s="157" t="s">
        <v>252</v>
      </c>
      <c r="Q134" s="162"/>
      <c r="R134" s="162"/>
      <c r="S134" s="162"/>
      <c r="T134" s="162"/>
      <c r="U134" s="251"/>
      <c r="V134" s="251"/>
      <c r="W134" s="251"/>
      <c r="X134" s="252"/>
      <c r="Y134" s="154"/>
      <c r="Z134" s="147"/>
      <c r="AA134" s="147"/>
      <c r="AB134" s="148"/>
      <c r="AC134" s="154"/>
      <c r="AD134" s="147"/>
      <c r="AE134" s="147"/>
      <c r="AF134" s="148"/>
      <c r="AI134" s="109" t="str">
        <f>"32:field225:" &amp; IF(I134="■",1,IF(L134="■",2,IF(O134="■",3,0)))</f>
        <v>32:field225:0</v>
      </c>
    </row>
    <row r="135" spans="1:37" ht="18.75" customHeight="1" x14ac:dyDescent="0.2">
      <c r="A135" s="139"/>
      <c r="B135" s="123"/>
      <c r="C135" s="237"/>
      <c r="D135" s="142"/>
      <c r="E135" s="128"/>
      <c r="F135" s="260"/>
      <c r="G135" s="270"/>
      <c r="H135" s="245" t="s">
        <v>118</v>
      </c>
      <c r="I135" s="156" t="s">
        <v>383</v>
      </c>
      <c r="J135" s="157" t="s">
        <v>250</v>
      </c>
      <c r="K135" s="157"/>
      <c r="L135" s="160" t="s">
        <v>383</v>
      </c>
      <c r="M135" s="157" t="s">
        <v>258</v>
      </c>
      <c r="N135" s="157"/>
      <c r="O135" s="160" t="s">
        <v>383</v>
      </c>
      <c r="P135" s="157" t="s">
        <v>259</v>
      </c>
      <c r="Q135" s="207"/>
      <c r="R135" s="160" t="s">
        <v>383</v>
      </c>
      <c r="S135" s="157" t="s">
        <v>283</v>
      </c>
      <c r="T135" s="207"/>
      <c r="U135" s="207"/>
      <c r="V135" s="207"/>
      <c r="W135" s="207"/>
      <c r="X135" s="208"/>
      <c r="Y135" s="154"/>
      <c r="Z135" s="147"/>
      <c r="AA135" s="147"/>
      <c r="AB135" s="148"/>
      <c r="AC135" s="154"/>
      <c r="AD135" s="147"/>
      <c r="AE135" s="147"/>
      <c r="AF135" s="148"/>
      <c r="AI135" s="109" t="str">
        <f>"32:serteikyo_kyoka_code:" &amp; IF(I135="■",1,IF(L135="■",6,IF(O135="■",5,IF(R135="■",7,0))))</f>
        <v>32:serteikyo_kyoka_code:0</v>
      </c>
    </row>
    <row r="136" spans="1:37" s="621" customFormat="1" ht="18.75" customHeight="1" x14ac:dyDescent="0.2">
      <c r="A136" s="139"/>
      <c r="B136" s="670"/>
      <c r="C136" s="140"/>
      <c r="D136" s="141"/>
      <c r="E136" s="128"/>
      <c r="F136" s="142"/>
      <c r="G136" s="143"/>
      <c r="H136" s="713" t="s">
        <v>790</v>
      </c>
      <c r="I136" s="642" t="s">
        <v>383</v>
      </c>
      <c r="J136" s="616" t="s">
        <v>627</v>
      </c>
      <c r="K136" s="616"/>
      <c r="L136" s="615"/>
      <c r="M136" s="644" t="s">
        <v>383</v>
      </c>
      <c r="N136" s="616" t="s">
        <v>791</v>
      </c>
      <c r="O136" s="617"/>
      <c r="P136" s="615"/>
      <c r="Q136" s="644" t="s">
        <v>383</v>
      </c>
      <c r="R136" s="618" t="s">
        <v>792</v>
      </c>
      <c r="S136" s="615"/>
      <c r="T136" s="615"/>
      <c r="U136" s="615"/>
      <c r="V136" s="618"/>
      <c r="W136" s="619"/>
      <c r="X136" s="620"/>
      <c r="Y136" s="154"/>
      <c r="Z136" s="147"/>
      <c r="AA136" s="147"/>
      <c r="AB136" s="148"/>
      <c r="AC136" s="154"/>
      <c r="AD136" s="147"/>
      <c r="AE136" s="147"/>
      <c r="AF136" s="148"/>
    </row>
    <row r="137" spans="1:37" s="621" customFormat="1" ht="18.75" customHeight="1" x14ac:dyDescent="0.2">
      <c r="A137" s="183"/>
      <c r="B137" s="658"/>
      <c r="C137" s="185"/>
      <c r="D137" s="186"/>
      <c r="E137" s="187"/>
      <c r="F137" s="188"/>
      <c r="G137" s="189"/>
      <c r="H137" s="714"/>
      <c r="I137" s="643" t="s">
        <v>383</v>
      </c>
      <c r="J137" s="623" t="s">
        <v>793</v>
      </c>
      <c r="K137" s="623"/>
      <c r="L137" s="622"/>
      <c r="M137" s="211" t="s">
        <v>383</v>
      </c>
      <c r="N137" s="623" t="s">
        <v>794</v>
      </c>
      <c r="O137" s="624"/>
      <c r="P137" s="622"/>
      <c r="Q137" s="211" t="s">
        <v>383</v>
      </c>
      <c r="R137" s="623" t="s">
        <v>795</v>
      </c>
      <c r="S137" s="622"/>
      <c r="T137" s="623"/>
      <c r="U137" s="211" t="s">
        <v>383</v>
      </c>
      <c r="V137" s="623" t="s">
        <v>796</v>
      </c>
      <c r="W137" s="625"/>
      <c r="X137" s="626"/>
      <c r="Y137" s="194"/>
      <c r="Z137" s="147"/>
      <c r="AA137" s="147"/>
      <c r="AB137" s="148"/>
      <c r="AC137" s="194"/>
      <c r="AD137" s="147"/>
      <c r="AE137" s="147"/>
      <c r="AF137" s="148"/>
    </row>
    <row r="138" spans="1:37" ht="18.75" customHeight="1" x14ac:dyDescent="0.2">
      <c r="A138" s="129"/>
      <c r="B138" s="116"/>
      <c r="C138" s="233"/>
      <c r="D138" s="132"/>
      <c r="E138" s="121"/>
      <c r="F138" s="258"/>
      <c r="G138" s="136"/>
      <c r="H138" s="559" t="s">
        <v>97</v>
      </c>
      <c r="I138" s="367" t="s">
        <v>383</v>
      </c>
      <c r="J138" s="368" t="s">
        <v>300</v>
      </c>
      <c r="K138" s="369"/>
      <c r="L138" s="370"/>
      <c r="M138" s="371" t="s">
        <v>383</v>
      </c>
      <c r="N138" s="368" t="s">
        <v>301</v>
      </c>
      <c r="O138" s="372"/>
      <c r="P138" s="372"/>
      <c r="Q138" s="372"/>
      <c r="R138" s="372"/>
      <c r="S138" s="372"/>
      <c r="T138" s="372"/>
      <c r="U138" s="372"/>
      <c r="V138" s="372"/>
      <c r="W138" s="372"/>
      <c r="X138" s="373"/>
      <c r="Y138" s="138" t="s">
        <v>383</v>
      </c>
      <c r="Z138" s="119" t="s">
        <v>249</v>
      </c>
      <c r="AA138" s="119"/>
      <c r="AB138" s="137"/>
      <c r="AC138" s="138" t="s">
        <v>383</v>
      </c>
      <c r="AD138" s="119" t="s">
        <v>249</v>
      </c>
      <c r="AE138" s="119"/>
      <c r="AF138" s="137"/>
      <c r="AG138" s="109" t="str">
        <f>"ser_code = '" &amp; IF(A144="■",38,"") &amp; "'"</f>
        <v>ser_code = ''</v>
      </c>
      <c r="AH138" s="109"/>
      <c r="AI138" s="109" t="str">
        <f>"38:yakan_kinmu_code:" &amp; IF(I138="■",1,IF(M138="■",6,0))</f>
        <v>38:yakan_kinmu_code:0</v>
      </c>
      <c r="AJ138" s="109" t="str">
        <f>"38:field203:" &amp; IF(Y138="■",1,IF(Y139="■",2,0))</f>
        <v>38:field203:0</v>
      </c>
      <c r="AK138" s="109" t="str">
        <f>"38:waribiki_code:" &amp; IF(AC138="■",1,IF(AC139="■",2,0))</f>
        <v>38:waribiki_code:0</v>
      </c>
    </row>
    <row r="139" spans="1:37" ht="18.75" customHeight="1" x14ac:dyDescent="0.2">
      <c r="A139" s="139"/>
      <c r="B139" s="123"/>
      <c r="C139" s="237"/>
      <c r="D139" s="142"/>
      <c r="E139" s="128"/>
      <c r="F139" s="260"/>
      <c r="G139" s="270"/>
      <c r="H139" s="508" t="s">
        <v>93</v>
      </c>
      <c r="I139" s="349" t="s">
        <v>383</v>
      </c>
      <c r="J139" s="350" t="s">
        <v>250</v>
      </c>
      <c r="K139" s="350"/>
      <c r="L139" s="352"/>
      <c r="M139" s="353" t="s">
        <v>383</v>
      </c>
      <c r="N139" s="350" t="s">
        <v>557</v>
      </c>
      <c r="O139" s="350"/>
      <c r="P139" s="352"/>
      <c r="Q139" s="351"/>
      <c r="R139" s="351"/>
      <c r="S139" s="351"/>
      <c r="T139" s="351"/>
      <c r="U139" s="351"/>
      <c r="V139" s="351"/>
      <c r="W139" s="351"/>
      <c r="X139" s="365"/>
      <c r="Y139" s="125" t="s">
        <v>383</v>
      </c>
      <c r="Z139" s="126" t="s">
        <v>255</v>
      </c>
      <c r="AA139" s="147"/>
      <c r="AB139" s="148"/>
      <c r="AC139" s="125" t="s">
        <v>383</v>
      </c>
      <c r="AD139" s="126" t="s">
        <v>255</v>
      </c>
      <c r="AE139" s="147"/>
      <c r="AF139" s="148"/>
      <c r="AG139" s="109" t="str">
        <f>"38:sisetukbn_code:" &amp; IF(D144="■",1,IF(D145="■",2,IF(D146="■",3,IF(D147="■",4,0))))</f>
        <v>38:sisetukbn_code:0</v>
      </c>
      <c r="AI139" s="109" t="str">
        <f>"38:"&amp;IF(AND(I139="□",M139="□"),"ketu_kaigoj_code:0",IF(I139="■","ketu_kaigoj_code:1",IF(M139="■","ketu_kaigoj_code:2","ketu_kaigoj_code:1")))</f>
        <v>38:ketu_kaigoj_code:0</v>
      </c>
    </row>
    <row r="140" spans="1:37" ht="18.75" customHeight="1" x14ac:dyDescent="0.2">
      <c r="A140" s="139"/>
      <c r="B140" s="123"/>
      <c r="C140" s="237"/>
      <c r="D140" s="142"/>
      <c r="E140" s="128"/>
      <c r="F140" s="260"/>
      <c r="G140" s="270"/>
      <c r="H140" s="458" t="s">
        <v>185</v>
      </c>
      <c r="I140" s="349" t="s">
        <v>383</v>
      </c>
      <c r="J140" s="350" t="s">
        <v>395</v>
      </c>
      <c r="K140" s="351"/>
      <c r="L140" s="352"/>
      <c r="M140" s="353" t="s">
        <v>383</v>
      </c>
      <c r="N140" s="350" t="s">
        <v>396</v>
      </c>
      <c r="O140" s="355"/>
      <c r="P140" s="355"/>
      <c r="Q140" s="351"/>
      <c r="R140" s="351"/>
      <c r="S140" s="351"/>
      <c r="T140" s="351"/>
      <c r="U140" s="351"/>
      <c r="V140" s="351"/>
      <c r="W140" s="351"/>
      <c r="X140" s="365"/>
      <c r="Y140" s="154"/>
      <c r="Z140" s="147"/>
      <c r="AA140" s="147"/>
      <c r="AB140" s="148"/>
      <c r="AC140" s="154"/>
      <c r="AD140" s="147"/>
      <c r="AE140" s="147"/>
      <c r="AF140" s="148"/>
      <c r="AI140" s="109" t="str">
        <f>"38:sintaikousoku_code:" &amp; IF(I140="■",1,IF(M140="■",2,0))</f>
        <v>38:sintaikousoku_code:0</v>
      </c>
    </row>
    <row r="141" spans="1:37" ht="19.5" customHeight="1" x14ac:dyDescent="0.2">
      <c r="A141" s="139"/>
      <c r="B141" s="123"/>
      <c r="C141" s="140"/>
      <c r="D141" s="141"/>
      <c r="E141" s="128"/>
      <c r="F141" s="142"/>
      <c r="G141" s="143"/>
      <c r="H141" s="348" t="s">
        <v>430</v>
      </c>
      <c r="I141" s="349" t="s">
        <v>383</v>
      </c>
      <c r="J141" s="350" t="s">
        <v>395</v>
      </c>
      <c r="K141" s="351"/>
      <c r="L141" s="352"/>
      <c r="M141" s="353" t="s">
        <v>383</v>
      </c>
      <c r="N141" s="350" t="s">
        <v>431</v>
      </c>
      <c r="O141" s="350"/>
      <c r="P141" s="350"/>
      <c r="Q141" s="355"/>
      <c r="R141" s="355"/>
      <c r="S141" s="355"/>
      <c r="T141" s="355"/>
      <c r="U141" s="355"/>
      <c r="V141" s="355"/>
      <c r="W141" s="355"/>
      <c r="X141" s="356"/>
      <c r="Y141" s="147"/>
      <c r="Z141" s="147"/>
      <c r="AA141" s="147"/>
      <c r="AB141" s="148"/>
      <c r="AC141" s="154"/>
      <c r="AD141" s="147"/>
      <c r="AE141" s="147"/>
      <c r="AF141" s="148"/>
      <c r="AI141" s="109" t="str">
        <f>"38:field223:" &amp; IF(I141="■",1,IF(M141="■",2,0))</f>
        <v>38:field223:0</v>
      </c>
    </row>
    <row r="142" spans="1:37" ht="19.5" customHeight="1" x14ac:dyDescent="0.2">
      <c r="A142" s="139"/>
      <c r="B142" s="123"/>
      <c r="C142" s="140"/>
      <c r="D142" s="141"/>
      <c r="E142" s="128"/>
      <c r="F142" s="142"/>
      <c r="G142" s="143"/>
      <c r="H142" s="348" t="s">
        <v>448</v>
      </c>
      <c r="I142" s="349" t="s">
        <v>383</v>
      </c>
      <c r="J142" s="350" t="s">
        <v>395</v>
      </c>
      <c r="K142" s="351"/>
      <c r="L142" s="352"/>
      <c r="M142" s="353" t="s">
        <v>383</v>
      </c>
      <c r="N142" s="350" t="s">
        <v>431</v>
      </c>
      <c r="O142" s="350"/>
      <c r="P142" s="350"/>
      <c r="Q142" s="355"/>
      <c r="R142" s="355"/>
      <c r="S142" s="355"/>
      <c r="T142" s="355"/>
      <c r="U142" s="355"/>
      <c r="V142" s="355"/>
      <c r="W142" s="355"/>
      <c r="X142" s="356"/>
      <c r="Y142" s="147"/>
      <c r="Z142" s="147"/>
      <c r="AA142" s="147"/>
      <c r="AB142" s="148"/>
      <c r="AC142" s="154"/>
      <c r="AD142" s="147"/>
      <c r="AE142" s="147"/>
      <c r="AF142" s="148"/>
      <c r="AI142" s="109" t="str">
        <f>"38:field232:" &amp; IF(I142="■",1,IF(M142="■",2,0))</f>
        <v>38:field232:0</v>
      </c>
    </row>
    <row r="143" spans="1:37" ht="18.75" customHeight="1" x14ac:dyDescent="0.2">
      <c r="A143" s="139"/>
      <c r="B143" s="123"/>
      <c r="C143" s="237"/>
      <c r="D143" s="142"/>
      <c r="E143" s="128"/>
      <c r="F143" s="260"/>
      <c r="G143" s="270"/>
      <c r="H143" s="849" t="s">
        <v>558</v>
      </c>
      <c r="I143" s="797" t="s">
        <v>383</v>
      </c>
      <c r="J143" s="796" t="s">
        <v>250</v>
      </c>
      <c r="K143" s="796"/>
      <c r="L143" s="797" t="s">
        <v>383</v>
      </c>
      <c r="M143" s="796" t="s">
        <v>267</v>
      </c>
      <c r="N143" s="796"/>
      <c r="O143" s="375"/>
      <c r="P143" s="375"/>
      <c r="Q143" s="375"/>
      <c r="R143" s="375"/>
      <c r="S143" s="375"/>
      <c r="T143" s="375"/>
      <c r="U143" s="375"/>
      <c r="V143" s="375"/>
      <c r="W143" s="375"/>
      <c r="X143" s="441"/>
      <c r="Y143" s="154"/>
      <c r="Z143" s="147"/>
      <c r="AA143" s="147"/>
      <c r="AB143" s="148"/>
      <c r="AC143" s="154"/>
      <c r="AD143" s="147"/>
      <c r="AE143" s="147"/>
      <c r="AF143" s="148"/>
      <c r="AI143" s="109" t="str">
        <f>"38:field219:" &amp; IF(I143="■",1,IF(L143="■",2,0))</f>
        <v>38:field219:0</v>
      </c>
    </row>
    <row r="144" spans="1:37" ht="18.75" customHeight="1" x14ac:dyDescent="0.2">
      <c r="A144" s="125" t="s">
        <v>383</v>
      </c>
      <c r="B144" s="123">
        <v>38</v>
      </c>
      <c r="C144" s="237" t="s">
        <v>560</v>
      </c>
      <c r="D144" s="125" t="s">
        <v>383</v>
      </c>
      <c r="E144" s="128" t="s">
        <v>379</v>
      </c>
      <c r="F144" s="260"/>
      <c r="G144" s="270"/>
      <c r="H144" s="850"/>
      <c r="I144" s="793"/>
      <c r="J144" s="795"/>
      <c r="K144" s="795"/>
      <c r="L144" s="793"/>
      <c r="M144" s="795"/>
      <c r="N144" s="795"/>
      <c r="O144" s="381"/>
      <c r="P144" s="381"/>
      <c r="Q144" s="381"/>
      <c r="R144" s="381"/>
      <c r="S144" s="381"/>
      <c r="T144" s="381"/>
      <c r="U144" s="381"/>
      <c r="V144" s="381"/>
      <c r="W144" s="381"/>
      <c r="X144" s="442"/>
      <c r="Y144" s="154"/>
      <c r="Z144" s="147"/>
      <c r="AA144" s="147"/>
      <c r="AB144" s="148"/>
      <c r="AC144" s="154"/>
      <c r="AD144" s="147"/>
      <c r="AE144" s="147"/>
      <c r="AF144" s="148"/>
    </row>
    <row r="145" spans="1:37" ht="18.75" customHeight="1" x14ac:dyDescent="0.2">
      <c r="A145" s="139"/>
      <c r="B145" s="123"/>
      <c r="C145" s="237" t="s">
        <v>561</v>
      </c>
      <c r="D145" s="125" t="s">
        <v>383</v>
      </c>
      <c r="E145" s="128" t="s">
        <v>365</v>
      </c>
      <c r="F145" s="260"/>
      <c r="G145" s="270"/>
      <c r="H145" s="508" t="s">
        <v>559</v>
      </c>
      <c r="I145" s="536" t="s">
        <v>383</v>
      </c>
      <c r="J145" s="350" t="s">
        <v>250</v>
      </c>
      <c r="K145" s="350"/>
      <c r="L145" s="353" t="s">
        <v>383</v>
      </c>
      <c r="M145" s="350" t="s">
        <v>251</v>
      </c>
      <c r="N145" s="350"/>
      <c r="O145" s="561" t="s">
        <v>383</v>
      </c>
      <c r="P145" s="350" t="s">
        <v>252</v>
      </c>
      <c r="Q145" s="531"/>
      <c r="R145" s="531"/>
      <c r="S145" s="531"/>
      <c r="T145" s="531"/>
      <c r="U145" s="531"/>
      <c r="V145" s="531"/>
      <c r="W145" s="531"/>
      <c r="X145" s="440"/>
      <c r="Y145" s="154"/>
      <c r="Z145" s="147"/>
      <c r="AA145" s="147"/>
      <c r="AB145" s="148"/>
      <c r="AC145" s="154"/>
      <c r="AD145" s="147"/>
      <c r="AE145" s="147"/>
      <c r="AF145" s="148"/>
      <c r="AI145" s="109" t="str">
        <f>"38:field173:" &amp; IF(I145="■",1,IF(L145="■",2,IF(O145="■",3,0)))</f>
        <v>38:field173:0</v>
      </c>
    </row>
    <row r="146" spans="1:37" ht="18.75" customHeight="1" x14ac:dyDescent="0.2">
      <c r="A146" s="139"/>
      <c r="B146" s="123"/>
      <c r="C146" s="237" t="s">
        <v>556</v>
      </c>
      <c r="D146" s="125" t="s">
        <v>383</v>
      </c>
      <c r="E146" s="128" t="s">
        <v>563</v>
      </c>
      <c r="F146" s="260"/>
      <c r="G146" s="270"/>
      <c r="H146" s="508" t="s">
        <v>486</v>
      </c>
      <c r="I146" s="349" t="s">
        <v>383</v>
      </c>
      <c r="J146" s="350" t="s">
        <v>250</v>
      </c>
      <c r="K146" s="351"/>
      <c r="L146" s="353" t="s">
        <v>383</v>
      </c>
      <c r="M146" s="350" t="s">
        <v>267</v>
      </c>
      <c r="N146" s="531"/>
      <c r="O146" s="531"/>
      <c r="P146" s="531"/>
      <c r="Q146" s="531"/>
      <c r="R146" s="531"/>
      <c r="S146" s="531"/>
      <c r="T146" s="531"/>
      <c r="U146" s="531"/>
      <c r="V146" s="531"/>
      <c r="W146" s="531"/>
      <c r="X146" s="440"/>
      <c r="Y146" s="154"/>
      <c r="Z146" s="147"/>
      <c r="AA146" s="147"/>
      <c r="AB146" s="148"/>
      <c r="AC146" s="154"/>
      <c r="AD146" s="147"/>
      <c r="AE146" s="147"/>
      <c r="AF146" s="148"/>
      <c r="AI146" s="109" t="str">
        <f>"38:jyakuninti_uke_code:" &amp; IF(I146="■",1,IF(L146="■",2,0))</f>
        <v>38:jyakuninti_uke_code:0</v>
      </c>
    </row>
    <row r="147" spans="1:37" ht="18.75" customHeight="1" x14ac:dyDescent="0.2">
      <c r="A147" s="139"/>
      <c r="B147" s="123"/>
      <c r="C147" s="248"/>
      <c r="D147" s="125" t="s">
        <v>383</v>
      </c>
      <c r="E147" s="128" t="s">
        <v>564</v>
      </c>
      <c r="F147" s="260"/>
      <c r="G147" s="270"/>
      <c r="H147" s="508" t="s">
        <v>565</v>
      </c>
      <c r="I147" s="536" t="s">
        <v>383</v>
      </c>
      <c r="J147" s="350" t="s">
        <v>250</v>
      </c>
      <c r="K147" s="350"/>
      <c r="L147" s="353" t="s">
        <v>383</v>
      </c>
      <c r="M147" s="350" t="s">
        <v>566</v>
      </c>
      <c r="N147" s="350"/>
      <c r="O147" s="531"/>
      <c r="P147" s="561" t="s">
        <v>383</v>
      </c>
      <c r="Q147" s="350" t="s">
        <v>285</v>
      </c>
      <c r="R147" s="535"/>
      <c r="S147" s="350"/>
      <c r="T147" s="561" t="s">
        <v>383</v>
      </c>
      <c r="U147" s="350" t="s">
        <v>567</v>
      </c>
      <c r="V147" s="531"/>
      <c r="W147" s="531"/>
      <c r="X147" s="440"/>
      <c r="Y147" s="154"/>
      <c r="Z147" s="147"/>
      <c r="AA147" s="147"/>
      <c r="AB147" s="148"/>
      <c r="AC147" s="154"/>
      <c r="AD147" s="147"/>
      <c r="AE147" s="147"/>
      <c r="AF147" s="148"/>
      <c r="AI147" s="109" t="str">
        <f>"38:iryo_renkei_code:" &amp; IF(I147="■",1,IF(L147="■",2,IF(P147="■",3,IF(T147="■",4,0))))</f>
        <v>38:iryo_renkei_code:0</v>
      </c>
    </row>
    <row r="148" spans="1:37" ht="18.75" customHeight="1" x14ac:dyDescent="0.2">
      <c r="A148" s="139"/>
      <c r="B148" s="123"/>
      <c r="C148" s="237"/>
      <c r="D148" s="141"/>
      <c r="E148" s="128"/>
      <c r="F148" s="260"/>
      <c r="G148" s="270"/>
      <c r="H148" s="508" t="s">
        <v>568</v>
      </c>
      <c r="I148" s="536" t="s">
        <v>383</v>
      </c>
      <c r="J148" s="350" t="s">
        <v>250</v>
      </c>
      <c r="K148" s="350"/>
      <c r="L148" s="353" t="s">
        <v>383</v>
      </c>
      <c r="M148" s="381" t="s">
        <v>267</v>
      </c>
      <c r="N148" s="350"/>
      <c r="O148" s="531"/>
      <c r="P148" s="531"/>
      <c r="Q148" s="531"/>
      <c r="R148" s="531"/>
      <c r="S148" s="531"/>
      <c r="T148" s="531"/>
      <c r="U148" s="531"/>
      <c r="V148" s="531"/>
      <c r="W148" s="531"/>
      <c r="X148" s="440"/>
      <c r="Y148" s="154"/>
      <c r="Z148" s="147"/>
      <c r="AA148" s="147"/>
      <c r="AB148" s="148"/>
      <c r="AC148" s="154"/>
      <c r="AD148" s="147"/>
      <c r="AE148" s="147"/>
      <c r="AF148" s="148"/>
      <c r="AI148" s="109" t="str">
        <f>"38:field222:" &amp; IF(I148="■",1,IF(L148="■",2,0))</f>
        <v>38:field222:0</v>
      </c>
    </row>
    <row r="149" spans="1:37" ht="18.75" customHeight="1" x14ac:dyDescent="0.2">
      <c r="A149" s="139"/>
      <c r="B149" s="123"/>
      <c r="C149" s="237"/>
      <c r="D149" s="141"/>
      <c r="E149" s="128"/>
      <c r="F149" s="142"/>
      <c r="G149" s="128"/>
      <c r="H149" s="540" t="s">
        <v>461</v>
      </c>
      <c r="I149" s="349" t="s">
        <v>383</v>
      </c>
      <c r="J149" s="350" t="s">
        <v>250</v>
      </c>
      <c r="K149" s="350"/>
      <c r="L149" s="353" t="s">
        <v>383</v>
      </c>
      <c r="M149" s="381" t="s">
        <v>267</v>
      </c>
      <c r="N149" s="350"/>
      <c r="O149" s="350"/>
      <c r="P149" s="350"/>
      <c r="Q149" s="351"/>
      <c r="R149" s="351"/>
      <c r="S149" s="351"/>
      <c r="T149" s="351"/>
      <c r="U149" s="351"/>
      <c r="V149" s="351"/>
      <c r="W149" s="351"/>
      <c r="X149" s="365"/>
      <c r="Y149" s="154"/>
      <c r="Z149" s="147"/>
      <c r="AA149" s="147"/>
      <c r="AB149" s="148"/>
      <c r="AC149" s="154"/>
      <c r="AD149" s="147"/>
      <c r="AE149" s="147"/>
      <c r="AF149" s="148"/>
      <c r="AI149" s="109" t="str">
        <f>"38:field226:" &amp; IF(I149="■",1,IF(L149="■",2,0))</f>
        <v>38:field226:0</v>
      </c>
    </row>
    <row r="150" spans="1:37" ht="18.75" customHeight="1" x14ac:dyDescent="0.2">
      <c r="A150" s="139"/>
      <c r="B150" s="123"/>
      <c r="C150" s="237"/>
      <c r="D150" s="141"/>
      <c r="E150" s="128"/>
      <c r="F150" s="142"/>
      <c r="G150" s="128"/>
      <c r="H150" s="540" t="s">
        <v>462</v>
      </c>
      <c r="I150" s="349" t="s">
        <v>383</v>
      </c>
      <c r="J150" s="350" t="s">
        <v>250</v>
      </c>
      <c r="K150" s="350"/>
      <c r="L150" s="353" t="s">
        <v>383</v>
      </c>
      <c r="M150" s="381" t="s">
        <v>267</v>
      </c>
      <c r="N150" s="350"/>
      <c r="O150" s="350"/>
      <c r="P150" s="350"/>
      <c r="Q150" s="351"/>
      <c r="R150" s="351"/>
      <c r="S150" s="351"/>
      <c r="T150" s="351"/>
      <c r="U150" s="351"/>
      <c r="V150" s="351"/>
      <c r="W150" s="351"/>
      <c r="X150" s="365"/>
      <c r="Y150" s="154"/>
      <c r="Z150" s="147"/>
      <c r="AA150" s="147"/>
      <c r="AB150" s="148"/>
      <c r="AC150" s="154"/>
      <c r="AD150" s="147"/>
      <c r="AE150" s="147"/>
      <c r="AF150" s="148"/>
      <c r="AI150" s="109" t="str">
        <f>"38:field227:" &amp; IF(I150="■",1,IF(L150="■",2,0))</f>
        <v>38:field227:0</v>
      </c>
    </row>
    <row r="151" spans="1:37" ht="18.75" customHeight="1" x14ac:dyDescent="0.2">
      <c r="A151" s="139"/>
      <c r="B151" s="123"/>
      <c r="C151" s="248"/>
      <c r="D151" s="141"/>
      <c r="E151" s="128"/>
      <c r="F151" s="260"/>
      <c r="G151" s="270"/>
      <c r="H151" s="435" t="s">
        <v>442</v>
      </c>
      <c r="I151" s="349" t="s">
        <v>383</v>
      </c>
      <c r="J151" s="350" t="s">
        <v>250</v>
      </c>
      <c r="K151" s="350"/>
      <c r="L151" s="353" t="s">
        <v>383</v>
      </c>
      <c r="M151" s="350" t="s">
        <v>251</v>
      </c>
      <c r="N151" s="350"/>
      <c r="O151" s="353" t="s">
        <v>383</v>
      </c>
      <c r="P151" s="350" t="s">
        <v>252</v>
      </c>
      <c r="Q151" s="355"/>
      <c r="R151" s="355"/>
      <c r="S151" s="355"/>
      <c r="T151" s="355"/>
      <c r="U151" s="410"/>
      <c r="V151" s="410"/>
      <c r="W151" s="410"/>
      <c r="X151" s="411"/>
      <c r="Y151" s="154"/>
      <c r="Z151" s="147"/>
      <c r="AA151" s="147"/>
      <c r="AB151" s="148"/>
      <c r="AC151" s="154"/>
      <c r="AD151" s="147"/>
      <c r="AE151" s="147"/>
      <c r="AF151" s="148"/>
      <c r="AI151" s="109" t="str">
        <f>"38:field225:" &amp; IF(I151="■",1,IF(L151="■",2,IF(O151="■",3,0)))</f>
        <v>38:field225:0</v>
      </c>
    </row>
    <row r="152" spans="1:37" ht="18.75" customHeight="1" x14ac:dyDescent="0.2">
      <c r="A152" s="139"/>
      <c r="B152" s="123"/>
      <c r="C152" s="237"/>
      <c r="D152" s="141"/>
      <c r="E152" s="128"/>
      <c r="F152" s="260"/>
      <c r="G152" s="270"/>
      <c r="H152" s="508" t="s">
        <v>118</v>
      </c>
      <c r="I152" s="349" t="s">
        <v>383</v>
      </c>
      <c r="J152" s="350" t="s">
        <v>250</v>
      </c>
      <c r="K152" s="350"/>
      <c r="L152" s="353" t="s">
        <v>383</v>
      </c>
      <c r="M152" s="350" t="s">
        <v>258</v>
      </c>
      <c r="N152" s="350"/>
      <c r="O152" s="353" t="s">
        <v>383</v>
      </c>
      <c r="P152" s="350" t="s">
        <v>259</v>
      </c>
      <c r="Q152" s="531"/>
      <c r="R152" s="353" t="s">
        <v>383</v>
      </c>
      <c r="S152" s="350" t="s">
        <v>283</v>
      </c>
      <c r="T152" s="531"/>
      <c r="U152" s="531"/>
      <c r="V152" s="531"/>
      <c r="W152" s="531"/>
      <c r="X152" s="440"/>
      <c r="Y152" s="154"/>
      <c r="Z152" s="147"/>
      <c r="AA152" s="147"/>
      <c r="AB152" s="148"/>
      <c r="AC152" s="154"/>
      <c r="AD152" s="147"/>
      <c r="AE152" s="147"/>
      <c r="AF152" s="148"/>
      <c r="AI152" s="109" t="str">
        <f>"38:serteikyo_kyoka_code:" &amp; IF(I152="■",1,IF(L152="■",6,IF(O152="■",5,IF(R152="■",7,0))))</f>
        <v>38:serteikyo_kyoka_code:0</v>
      </c>
    </row>
    <row r="153" spans="1:37" s="621" customFormat="1" ht="20.399999999999999" customHeight="1" x14ac:dyDescent="0.2">
      <c r="A153" s="139"/>
      <c r="B153" s="670"/>
      <c r="C153" s="140"/>
      <c r="D153" s="141"/>
      <c r="E153" s="128"/>
      <c r="F153" s="142"/>
      <c r="G153" s="143"/>
      <c r="H153" s="713" t="s">
        <v>790</v>
      </c>
      <c r="I153" s="642" t="s">
        <v>383</v>
      </c>
      <c r="J153" s="616" t="s">
        <v>627</v>
      </c>
      <c r="K153" s="616"/>
      <c r="L153" s="615"/>
      <c r="M153" s="644" t="s">
        <v>383</v>
      </c>
      <c r="N153" s="616" t="s">
        <v>791</v>
      </c>
      <c r="O153" s="617"/>
      <c r="P153" s="615"/>
      <c r="Q153" s="644" t="s">
        <v>383</v>
      </c>
      <c r="R153" s="618" t="s">
        <v>792</v>
      </c>
      <c r="S153" s="615"/>
      <c r="T153" s="615"/>
      <c r="U153" s="615"/>
      <c r="V153" s="618"/>
      <c r="W153" s="619"/>
      <c r="X153" s="620"/>
      <c r="Y153" s="154"/>
      <c r="Z153" s="147"/>
      <c r="AA153" s="147"/>
      <c r="AB153" s="148"/>
      <c r="AC153" s="154"/>
      <c r="AD153" s="147"/>
      <c r="AE153" s="147"/>
      <c r="AF153" s="148"/>
    </row>
    <row r="154" spans="1:37" s="621" customFormat="1" ht="18.75" customHeight="1" x14ac:dyDescent="0.2">
      <c r="A154" s="183"/>
      <c r="B154" s="658"/>
      <c r="C154" s="185"/>
      <c r="D154" s="186"/>
      <c r="E154" s="187"/>
      <c r="F154" s="188"/>
      <c r="G154" s="189"/>
      <c r="H154" s="714"/>
      <c r="I154" s="643" t="s">
        <v>383</v>
      </c>
      <c r="J154" s="623" t="s">
        <v>793</v>
      </c>
      <c r="K154" s="623"/>
      <c r="L154" s="622"/>
      <c r="M154" s="211" t="s">
        <v>383</v>
      </c>
      <c r="N154" s="623" t="s">
        <v>794</v>
      </c>
      <c r="O154" s="624"/>
      <c r="P154" s="622"/>
      <c r="Q154" s="211" t="s">
        <v>383</v>
      </c>
      <c r="R154" s="623" t="s">
        <v>795</v>
      </c>
      <c r="S154" s="622"/>
      <c r="T154" s="623"/>
      <c r="U154" s="211" t="s">
        <v>383</v>
      </c>
      <c r="V154" s="623" t="s">
        <v>796</v>
      </c>
      <c r="W154" s="625"/>
      <c r="X154" s="626"/>
      <c r="Y154" s="194"/>
      <c r="Z154" s="147"/>
      <c r="AA154" s="147"/>
      <c r="AB154" s="148"/>
      <c r="AC154" s="194"/>
      <c r="AD154" s="147"/>
      <c r="AE154" s="147"/>
      <c r="AF154" s="148"/>
    </row>
    <row r="155" spans="1:37" ht="18.75" customHeight="1" x14ac:dyDescent="0.2">
      <c r="A155" s="129"/>
      <c r="B155" s="116"/>
      <c r="C155" s="233"/>
      <c r="D155" s="132"/>
      <c r="E155" s="121"/>
      <c r="F155" s="132"/>
      <c r="G155" s="136"/>
      <c r="H155" s="559" t="s">
        <v>93</v>
      </c>
      <c r="I155" s="367" t="s">
        <v>383</v>
      </c>
      <c r="J155" s="368" t="s">
        <v>250</v>
      </c>
      <c r="K155" s="368"/>
      <c r="L155" s="370"/>
      <c r="M155" s="371" t="s">
        <v>383</v>
      </c>
      <c r="N155" s="368" t="s">
        <v>281</v>
      </c>
      <c r="O155" s="368"/>
      <c r="P155" s="370"/>
      <c r="Q155" s="371" t="s">
        <v>383</v>
      </c>
      <c r="R155" s="457" t="s">
        <v>282</v>
      </c>
      <c r="S155" s="457"/>
      <c r="T155" s="457"/>
      <c r="U155" s="457"/>
      <c r="V155" s="457"/>
      <c r="W155" s="457"/>
      <c r="X155" s="560"/>
      <c r="Y155" s="138" t="s">
        <v>383</v>
      </c>
      <c r="Z155" s="119" t="s">
        <v>249</v>
      </c>
      <c r="AA155" s="119"/>
      <c r="AB155" s="137"/>
      <c r="AC155" s="138" t="s">
        <v>383</v>
      </c>
      <c r="AD155" s="119" t="s">
        <v>249</v>
      </c>
      <c r="AE155" s="119"/>
      <c r="AF155" s="137"/>
      <c r="AG155" s="109" t="str">
        <f>"ser_code = '" &amp; IF(A163="■",36,"") &amp; "'"</f>
        <v>ser_code = ''</v>
      </c>
      <c r="AH155" s="109"/>
      <c r="AI155" s="109" t="str">
        <f>"36:"&amp;IF(AND(I155="□",M155="□",Q155="□"),"ketu_kangos_code:0",IF(I155="■","ketu_kangos_code:1:ketu_kshoku_code:1",IF(M155="■","ketu_kangos_code:2","ketu_kangos_code:1")&amp;IF(Q155="■",":ketu_kshoku_code:2",":ketu_kshoku_code:1")))</f>
        <v>36:ketu_kangos_code:0</v>
      </c>
      <c r="AJ155" s="109" t="str">
        <f>"36:field203:" &amp; IF(Y155="■",1,IF(Y156="■",2,0))</f>
        <v>36:field203:0</v>
      </c>
      <c r="AK155" s="109" t="str">
        <f>"36:waribiki_code:" &amp; IF(AC155="■",1,IF(AC156="■",2,0))</f>
        <v>36:waribiki_code:0</v>
      </c>
    </row>
    <row r="156" spans="1:37" ht="18.75" customHeight="1" x14ac:dyDescent="0.2">
      <c r="A156" s="139"/>
      <c r="B156" s="123"/>
      <c r="C156" s="237"/>
      <c r="D156" s="142"/>
      <c r="E156" s="128"/>
      <c r="F156" s="142"/>
      <c r="G156" s="270"/>
      <c r="H156" s="458" t="s">
        <v>185</v>
      </c>
      <c r="I156" s="349" t="s">
        <v>383</v>
      </c>
      <c r="J156" s="350" t="s">
        <v>395</v>
      </c>
      <c r="K156" s="351"/>
      <c r="L156" s="352"/>
      <c r="M156" s="353" t="s">
        <v>383</v>
      </c>
      <c r="N156" s="350" t="s">
        <v>396</v>
      </c>
      <c r="O156" s="355"/>
      <c r="P156" s="355"/>
      <c r="Q156" s="351"/>
      <c r="R156" s="351"/>
      <c r="S156" s="351"/>
      <c r="T156" s="351"/>
      <c r="U156" s="351"/>
      <c r="V156" s="351"/>
      <c r="W156" s="351"/>
      <c r="X156" s="365"/>
      <c r="Y156" s="125" t="s">
        <v>383</v>
      </c>
      <c r="Z156" s="126" t="s">
        <v>255</v>
      </c>
      <c r="AA156" s="147"/>
      <c r="AB156" s="148"/>
      <c r="AC156" s="125" t="s">
        <v>383</v>
      </c>
      <c r="AD156" s="126" t="s">
        <v>255</v>
      </c>
      <c r="AE156" s="147"/>
      <c r="AF156" s="148"/>
      <c r="AG156" s="109" t="str">
        <f>"36:sisetukbn_code:" &amp; IF(D163="■",1,IF(D164="■",2,IF(D165="■",3,IF(D166="■",5,IF(D167="■",6,IF(D168="■",7,0))))))</f>
        <v>36:sisetukbn_code:0</v>
      </c>
      <c r="AH156" s="109"/>
      <c r="AI156" s="109" t="str">
        <f>"36:sintaikousoku_code:" &amp; IF(I156="■",1,IF(M156="■",2,0))</f>
        <v>36:sintaikousoku_code:0</v>
      </c>
      <c r="AJ156" s="109"/>
      <c r="AK156" s="109"/>
    </row>
    <row r="157" spans="1:37" ht="19.5" customHeight="1" x14ac:dyDescent="0.2">
      <c r="A157" s="139"/>
      <c r="B157" s="123"/>
      <c r="C157" s="140"/>
      <c r="D157" s="141"/>
      <c r="E157" s="128"/>
      <c r="F157" s="142"/>
      <c r="G157" s="143"/>
      <c r="H157" s="348" t="s">
        <v>430</v>
      </c>
      <c r="I157" s="349" t="s">
        <v>383</v>
      </c>
      <c r="J157" s="350" t="s">
        <v>395</v>
      </c>
      <c r="K157" s="351"/>
      <c r="L157" s="352"/>
      <c r="M157" s="353" t="s">
        <v>383</v>
      </c>
      <c r="N157" s="350" t="s">
        <v>431</v>
      </c>
      <c r="O157" s="354"/>
      <c r="P157" s="350"/>
      <c r="Q157" s="355"/>
      <c r="R157" s="355"/>
      <c r="S157" s="355"/>
      <c r="T157" s="355"/>
      <c r="U157" s="355"/>
      <c r="V157" s="355"/>
      <c r="W157" s="355"/>
      <c r="X157" s="356"/>
      <c r="Y157" s="147"/>
      <c r="Z157" s="147"/>
      <c r="AA157" s="147"/>
      <c r="AB157" s="148"/>
      <c r="AC157" s="154"/>
      <c r="AD157" s="147"/>
      <c r="AE157" s="147"/>
      <c r="AF157" s="148"/>
      <c r="AI157" s="109" t="str">
        <f>"36:field223:" &amp; IF(I157="■",1,IF(M157="■",2,0))</f>
        <v>36:field223:0</v>
      </c>
    </row>
    <row r="158" spans="1:37" ht="19.5" customHeight="1" x14ac:dyDescent="0.2">
      <c r="A158" s="139"/>
      <c r="B158" s="123"/>
      <c r="C158" s="140"/>
      <c r="D158" s="141"/>
      <c r="E158" s="128"/>
      <c r="F158" s="142"/>
      <c r="G158" s="143"/>
      <c r="H158" s="348" t="s">
        <v>448</v>
      </c>
      <c r="I158" s="349" t="s">
        <v>383</v>
      </c>
      <c r="J158" s="350" t="s">
        <v>395</v>
      </c>
      <c r="K158" s="351"/>
      <c r="L158" s="352"/>
      <c r="M158" s="353" t="s">
        <v>383</v>
      </c>
      <c r="N158" s="350" t="s">
        <v>431</v>
      </c>
      <c r="O158" s="354"/>
      <c r="P158" s="350"/>
      <c r="Q158" s="355"/>
      <c r="R158" s="355"/>
      <c r="S158" s="355"/>
      <c r="T158" s="355"/>
      <c r="U158" s="355"/>
      <c r="V158" s="355"/>
      <c r="W158" s="355"/>
      <c r="X158" s="356"/>
      <c r="Y158" s="147"/>
      <c r="Z158" s="147"/>
      <c r="AA158" s="147"/>
      <c r="AB158" s="148"/>
      <c r="AC158" s="154"/>
      <c r="AD158" s="147"/>
      <c r="AE158" s="147"/>
      <c r="AF158" s="148"/>
      <c r="AI158" s="109" t="str">
        <f>"36:field232:" &amp; IF(I158="■",1,IF(M158="■",2,0))</f>
        <v>36:field232:0</v>
      </c>
    </row>
    <row r="159" spans="1:37" ht="18.75" customHeight="1" x14ac:dyDescent="0.2">
      <c r="A159" s="139"/>
      <c r="B159" s="123"/>
      <c r="C159" s="237"/>
      <c r="D159" s="142"/>
      <c r="E159" s="128"/>
      <c r="F159" s="142"/>
      <c r="G159" s="270"/>
      <c r="H159" s="508" t="s">
        <v>569</v>
      </c>
      <c r="I159" s="536" t="s">
        <v>383</v>
      </c>
      <c r="J159" s="350" t="s">
        <v>250</v>
      </c>
      <c r="K159" s="350"/>
      <c r="L159" s="353" t="s">
        <v>383</v>
      </c>
      <c r="M159" s="350" t="s">
        <v>251</v>
      </c>
      <c r="N159" s="350"/>
      <c r="O159" s="561" t="s">
        <v>383</v>
      </c>
      <c r="P159" s="350" t="s">
        <v>252</v>
      </c>
      <c r="Q159" s="531"/>
      <c r="R159" s="531"/>
      <c r="S159" s="531"/>
      <c r="T159" s="531"/>
      <c r="U159" s="531"/>
      <c r="V159" s="531"/>
      <c r="W159" s="531"/>
      <c r="X159" s="440"/>
      <c r="Y159" s="154"/>
      <c r="Z159" s="147"/>
      <c r="AA159" s="147"/>
      <c r="AB159" s="148"/>
      <c r="AC159" s="154"/>
      <c r="AD159" s="147"/>
      <c r="AE159" s="147"/>
      <c r="AF159" s="148"/>
      <c r="AI159" s="109" t="str">
        <f>"36:field165:" &amp; IF(I159="■",1,IF(L159="■",2,IF(O159="■",3,0)))</f>
        <v>36:field165:0</v>
      </c>
    </row>
    <row r="160" spans="1:37" ht="18.75" customHeight="1" x14ac:dyDescent="0.2">
      <c r="A160" s="139"/>
      <c r="B160" s="123"/>
      <c r="C160" s="237"/>
      <c r="D160" s="142"/>
      <c r="E160" s="128"/>
      <c r="F160" s="142"/>
      <c r="G160" s="270"/>
      <c r="H160" s="849" t="s">
        <v>570</v>
      </c>
      <c r="I160" s="797" t="s">
        <v>383</v>
      </c>
      <c r="J160" s="796" t="s">
        <v>250</v>
      </c>
      <c r="K160" s="796"/>
      <c r="L160" s="797" t="s">
        <v>383</v>
      </c>
      <c r="M160" s="796" t="s">
        <v>267</v>
      </c>
      <c r="N160" s="796"/>
      <c r="O160" s="375"/>
      <c r="P160" s="375"/>
      <c r="Q160" s="375"/>
      <c r="R160" s="375"/>
      <c r="S160" s="375"/>
      <c r="T160" s="375"/>
      <c r="U160" s="375"/>
      <c r="V160" s="375"/>
      <c r="W160" s="375"/>
      <c r="X160" s="441"/>
      <c r="Y160" s="154"/>
      <c r="Z160" s="147"/>
      <c r="AA160" s="147"/>
      <c r="AB160" s="148"/>
      <c r="AC160" s="154"/>
      <c r="AD160" s="147"/>
      <c r="AE160" s="147"/>
      <c r="AF160" s="148"/>
      <c r="AI160" s="109" t="str">
        <f>"36:field214:" &amp; IF(I160="■",1,IF(L160="■",2,0))</f>
        <v>36:field214:0</v>
      </c>
    </row>
    <row r="161" spans="1:37" ht="18.75" customHeight="1" x14ac:dyDescent="0.2">
      <c r="A161" s="139"/>
      <c r="B161" s="123"/>
      <c r="C161" s="237"/>
      <c r="D161" s="142"/>
      <c r="E161" s="128"/>
      <c r="F161" s="142"/>
      <c r="G161" s="270"/>
      <c r="H161" s="850"/>
      <c r="I161" s="793"/>
      <c r="J161" s="795"/>
      <c r="K161" s="795"/>
      <c r="L161" s="793"/>
      <c r="M161" s="795"/>
      <c r="N161" s="795"/>
      <c r="O161" s="381"/>
      <c r="P161" s="381"/>
      <c r="Q161" s="381"/>
      <c r="R161" s="381"/>
      <c r="S161" s="381"/>
      <c r="T161" s="381"/>
      <c r="U161" s="381"/>
      <c r="V161" s="381"/>
      <c r="W161" s="381"/>
      <c r="X161" s="442"/>
      <c r="Y161" s="154"/>
      <c r="Z161" s="147"/>
      <c r="AA161" s="147"/>
      <c r="AB161" s="148"/>
      <c r="AC161" s="154"/>
      <c r="AD161" s="147"/>
      <c r="AE161" s="147"/>
      <c r="AF161" s="148"/>
    </row>
    <row r="162" spans="1:37" ht="18.75" customHeight="1" x14ac:dyDescent="0.2">
      <c r="A162" s="139"/>
      <c r="B162" s="123"/>
      <c r="C162" s="237"/>
      <c r="D162" s="142"/>
      <c r="E162" s="128"/>
      <c r="F162" s="142"/>
      <c r="G162" s="270"/>
      <c r="H162" s="461" t="s">
        <v>183</v>
      </c>
      <c r="I162" s="349" t="s">
        <v>383</v>
      </c>
      <c r="J162" s="350" t="s">
        <v>250</v>
      </c>
      <c r="K162" s="350"/>
      <c r="L162" s="353" t="s">
        <v>383</v>
      </c>
      <c r="M162" s="350" t="s">
        <v>268</v>
      </c>
      <c r="N162" s="350"/>
      <c r="O162" s="353" t="s">
        <v>383</v>
      </c>
      <c r="P162" s="350" t="s">
        <v>269</v>
      </c>
      <c r="Q162" s="531"/>
      <c r="R162" s="531"/>
      <c r="S162" s="531"/>
      <c r="T162" s="531"/>
      <c r="U162" s="531"/>
      <c r="V162" s="531"/>
      <c r="W162" s="531"/>
      <c r="X162" s="440"/>
      <c r="Y162" s="154"/>
      <c r="Z162" s="147"/>
      <c r="AA162" s="147"/>
      <c r="AB162" s="148"/>
      <c r="AC162" s="154"/>
      <c r="AD162" s="147"/>
      <c r="AE162" s="147"/>
      <c r="AF162" s="148"/>
      <c r="AI162" s="109" t="str">
        <f>"36:field185:" &amp; IF(I162="■",1,IF(L162="■",3,IF(O162="■",2,0)))</f>
        <v>36:field185:0</v>
      </c>
    </row>
    <row r="163" spans="1:37" ht="18.75" customHeight="1" x14ac:dyDescent="0.2">
      <c r="A163" s="125" t="s">
        <v>383</v>
      </c>
      <c r="B163" s="123">
        <v>36</v>
      </c>
      <c r="C163" s="237" t="s">
        <v>571</v>
      </c>
      <c r="D163" s="125" t="s">
        <v>383</v>
      </c>
      <c r="E163" s="128" t="s">
        <v>505</v>
      </c>
      <c r="F163" s="142"/>
      <c r="G163" s="270"/>
      <c r="H163" s="461" t="s">
        <v>234</v>
      </c>
      <c r="I163" s="349" t="s">
        <v>383</v>
      </c>
      <c r="J163" s="350" t="s">
        <v>250</v>
      </c>
      <c r="K163" s="351"/>
      <c r="L163" s="353" t="s">
        <v>383</v>
      </c>
      <c r="M163" s="350" t="s">
        <v>267</v>
      </c>
      <c r="N163" s="531"/>
      <c r="O163" s="531"/>
      <c r="P163" s="531"/>
      <c r="Q163" s="531"/>
      <c r="R163" s="531"/>
      <c r="S163" s="531"/>
      <c r="T163" s="531"/>
      <c r="U163" s="531"/>
      <c r="V163" s="531"/>
      <c r="W163" s="531"/>
      <c r="X163" s="440"/>
      <c r="Y163" s="154"/>
      <c r="Z163" s="147"/>
      <c r="AA163" s="147"/>
      <c r="AB163" s="148"/>
      <c r="AC163" s="154"/>
      <c r="AD163" s="147"/>
      <c r="AE163" s="147"/>
      <c r="AF163" s="148"/>
      <c r="AI163" s="109" t="str">
        <f>"36:kobetu_kunren_code:" &amp; IF(I163="■",1,IF(L163="■",2,0))</f>
        <v>36:kobetu_kunren_code:0</v>
      </c>
    </row>
    <row r="164" spans="1:37" ht="18.75" customHeight="1" x14ac:dyDescent="0.2">
      <c r="A164" s="139"/>
      <c r="B164" s="123"/>
      <c r="C164" s="237" t="s">
        <v>572</v>
      </c>
      <c r="D164" s="125" t="s">
        <v>383</v>
      </c>
      <c r="E164" s="128" t="s">
        <v>507</v>
      </c>
      <c r="F164" s="142"/>
      <c r="G164" s="270"/>
      <c r="H164" s="540" t="s">
        <v>545</v>
      </c>
      <c r="I164" s="349" t="s">
        <v>383</v>
      </c>
      <c r="J164" s="350" t="s">
        <v>250</v>
      </c>
      <c r="K164" s="351"/>
      <c r="L164" s="353" t="s">
        <v>383</v>
      </c>
      <c r="M164" s="350" t="s">
        <v>267</v>
      </c>
      <c r="N164" s="531"/>
      <c r="O164" s="531"/>
      <c r="P164" s="531"/>
      <c r="Q164" s="531"/>
      <c r="R164" s="531"/>
      <c r="S164" s="531"/>
      <c r="T164" s="531"/>
      <c r="U164" s="531"/>
      <c r="V164" s="531"/>
      <c r="W164" s="531"/>
      <c r="X164" s="440"/>
      <c r="Y164" s="154"/>
      <c r="Z164" s="147"/>
      <c r="AA164" s="147"/>
      <c r="AB164" s="148"/>
      <c r="AC164" s="154"/>
      <c r="AD164" s="147"/>
      <c r="AE164" s="147"/>
      <c r="AF164" s="148"/>
      <c r="AI164" s="109" t="str">
        <f>"36:field186:" &amp; IF(I164="■",1,IF(L164="■",2,0))</f>
        <v>36:field186:0</v>
      </c>
    </row>
    <row r="165" spans="1:37" ht="18.75" customHeight="1" x14ac:dyDescent="0.2">
      <c r="A165" s="139"/>
      <c r="B165" s="123"/>
      <c r="C165" s="248"/>
      <c r="D165" s="125" t="s">
        <v>383</v>
      </c>
      <c r="E165" s="128" t="s">
        <v>509</v>
      </c>
      <c r="F165" s="142"/>
      <c r="G165" s="270"/>
      <c r="H165" s="458" t="s">
        <v>459</v>
      </c>
      <c r="I165" s="349" t="s">
        <v>383</v>
      </c>
      <c r="J165" s="350" t="s">
        <v>250</v>
      </c>
      <c r="K165" s="350"/>
      <c r="L165" s="353" t="s">
        <v>383</v>
      </c>
      <c r="M165" s="350" t="s">
        <v>445</v>
      </c>
      <c r="N165" s="350"/>
      <c r="O165" s="353" t="s">
        <v>383</v>
      </c>
      <c r="P165" s="350" t="s">
        <v>460</v>
      </c>
      <c r="Q165" s="350"/>
      <c r="R165" s="350"/>
      <c r="S165" s="350"/>
      <c r="T165" s="350"/>
      <c r="U165" s="350"/>
      <c r="V165" s="351"/>
      <c r="W165" s="351"/>
      <c r="X165" s="365"/>
      <c r="Y165" s="154"/>
      <c r="Z165" s="147"/>
      <c r="AA165" s="147"/>
      <c r="AB165" s="148"/>
      <c r="AC165" s="154"/>
      <c r="AD165" s="147"/>
      <c r="AE165" s="147"/>
      <c r="AF165" s="148"/>
      <c r="AI165" s="109" t="str">
        <f>"36:yakankango_code:" &amp; IF(I165="■",1,IF(L165="■",3,IF(O165="■",2,0)))</f>
        <v>36:yakankango_code:0</v>
      </c>
    </row>
    <row r="166" spans="1:37" ht="18.75" customHeight="1" x14ac:dyDescent="0.2">
      <c r="A166" s="139"/>
      <c r="B166" s="123"/>
      <c r="C166" s="237"/>
      <c r="D166" s="125" t="s">
        <v>383</v>
      </c>
      <c r="E166" s="128" t="s">
        <v>573</v>
      </c>
      <c r="F166" s="142"/>
      <c r="G166" s="270"/>
      <c r="H166" s="508" t="s">
        <v>186</v>
      </c>
      <c r="I166" s="349" t="s">
        <v>383</v>
      </c>
      <c r="J166" s="350" t="s">
        <v>250</v>
      </c>
      <c r="K166" s="351"/>
      <c r="L166" s="353" t="s">
        <v>383</v>
      </c>
      <c r="M166" s="350" t="s">
        <v>267</v>
      </c>
      <c r="N166" s="531"/>
      <c r="O166" s="531"/>
      <c r="P166" s="531"/>
      <c r="Q166" s="531"/>
      <c r="R166" s="531"/>
      <c r="S166" s="531"/>
      <c r="T166" s="531"/>
      <c r="U166" s="531"/>
      <c r="V166" s="531"/>
      <c r="W166" s="531"/>
      <c r="X166" s="440"/>
      <c r="Y166" s="154"/>
      <c r="Z166" s="147"/>
      <c r="AA166" s="147"/>
      <c r="AB166" s="148"/>
      <c r="AC166" s="154"/>
      <c r="AD166" s="147"/>
      <c r="AE166" s="147"/>
      <c r="AF166" s="148"/>
      <c r="AI166" s="109" t="str">
        <f>"36:jyakuninti_uke_code:" &amp; IF(I166="■",1,IF(L166="■",2,0))</f>
        <v>36:jyakuninti_uke_code:0</v>
      </c>
    </row>
    <row r="167" spans="1:37" ht="18.75" customHeight="1" x14ac:dyDescent="0.2">
      <c r="A167" s="139"/>
      <c r="B167" s="123"/>
      <c r="C167" s="237"/>
      <c r="D167" s="125" t="s">
        <v>383</v>
      </c>
      <c r="E167" s="128" t="s">
        <v>574</v>
      </c>
      <c r="F167" s="142"/>
      <c r="G167" s="270"/>
      <c r="H167" s="508" t="s">
        <v>119</v>
      </c>
      <c r="I167" s="349" t="s">
        <v>383</v>
      </c>
      <c r="J167" s="350" t="s">
        <v>250</v>
      </c>
      <c r="K167" s="351"/>
      <c r="L167" s="353" t="s">
        <v>383</v>
      </c>
      <c r="M167" s="350" t="s">
        <v>267</v>
      </c>
      <c r="N167" s="531"/>
      <c r="O167" s="531"/>
      <c r="P167" s="531"/>
      <c r="Q167" s="531"/>
      <c r="R167" s="531"/>
      <c r="S167" s="531"/>
      <c r="T167" s="531"/>
      <c r="U167" s="531"/>
      <c r="V167" s="531"/>
      <c r="W167" s="531"/>
      <c r="X167" s="440"/>
      <c r="Y167" s="154"/>
      <c r="Z167" s="147"/>
      <c r="AA167" s="147"/>
      <c r="AB167" s="148"/>
      <c r="AC167" s="154"/>
      <c r="AD167" s="147"/>
      <c r="AE167" s="147"/>
      <c r="AF167" s="148"/>
      <c r="AI167" s="109" t="str">
        <f>"36:terminal_code:" &amp; IF(I167="■",1,IF(L167="■",2,0))</f>
        <v>36:terminal_code:0</v>
      </c>
    </row>
    <row r="168" spans="1:37" ht="18.75" customHeight="1" x14ac:dyDescent="0.2">
      <c r="A168" s="139"/>
      <c r="B168" s="123"/>
      <c r="C168" s="140"/>
      <c r="D168" s="125" t="s">
        <v>383</v>
      </c>
      <c r="E168" s="128" t="s">
        <v>575</v>
      </c>
      <c r="F168" s="142"/>
      <c r="G168" s="270"/>
      <c r="H168" s="508" t="s">
        <v>116</v>
      </c>
      <c r="I168" s="536" t="s">
        <v>383</v>
      </c>
      <c r="J168" s="350" t="s">
        <v>250</v>
      </c>
      <c r="K168" s="350"/>
      <c r="L168" s="353" t="s">
        <v>383</v>
      </c>
      <c r="M168" s="350" t="s">
        <v>251</v>
      </c>
      <c r="N168" s="350"/>
      <c r="O168" s="561" t="s">
        <v>383</v>
      </c>
      <c r="P168" s="350" t="s">
        <v>252</v>
      </c>
      <c r="Q168" s="531"/>
      <c r="R168" s="531"/>
      <c r="S168" s="531"/>
      <c r="T168" s="531"/>
      <c r="U168" s="531"/>
      <c r="V168" s="531"/>
      <c r="W168" s="531"/>
      <c r="X168" s="440"/>
      <c r="Y168" s="154"/>
      <c r="Z168" s="147"/>
      <c r="AA168" s="147"/>
      <c r="AB168" s="148"/>
      <c r="AC168" s="154"/>
      <c r="AD168" s="147"/>
      <c r="AE168" s="147"/>
      <c r="AF168" s="148"/>
      <c r="AI168" s="109" t="str">
        <f>"36:ninti_senmoncare_code:" &amp; IF(I168="■",1,IF(O168="■",3,IF(L168="■",2,0)))</f>
        <v>36:ninti_senmoncare_code:0</v>
      </c>
    </row>
    <row r="169" spans="1:37" ht="18.75" customHeight="1" x14ac:dyDescent="0.2">
      <c r="A169" s="139"/>
      <c r="B169" s="123"/>
      <c r="C169" s="237"/>
      <c r="D169" s="141"/>
      <c r="E169" s="128"/>
      <c r="F169" s="142"/>
      <c r="G169" s="270"/>
      <c r="H169" s="461" t="s">
        <v>197</v>
      </c>
      <c r="I169" s="349" t="s">
        <v>383</v>
      </c>
      <c r="J169" s="350" t="s">
        <v>250</v>
      </c>
      <c r="K169" s="351"/>
      <c r="L169" s="353" t="s">
        <v>383</v>
      </c>
      <c r="M169" s="350" t="s">
        <v>267</v>
      </c>
      <c r="N169" s="531"/>
      <c r="O169" s="531"/>
      <c r="P169" s="531"/>
      <c r="Q169" s="531"/>
      <c r="R169" s="531"/>
      <c r="S169" s="531"/>
      <c r="T169" s="531"/>
      <c r="U169" s="531"/>
      <c r="V169" s="531"/>
      <c r="W169" s="531"/>
      <c r="X169" s="440"/>
      <c r="Y169" s="154"/>
      <c r="Z169" s="147"/>
      <c r="AA169" s="147"/>
      <c r="AB169" s="148"/>
      <c r="AC169" s="154"/>
      <c r="AD169" s="147"/>
      <c r="AE169" s="147"/>
      <c r="AF169" s="148"/>
      <c r="AI169" s="109" t="str">
        <f>"36:field212:" &amp; IF(I169="■",1,IF(L169="■",2,0))</f>
        <v>36:field212:0</v>
      </c>
    </row>
    <row r="170" spans="1:37" ht="18.75" customHeight="1" x14ac:dyDescent="0.2">
      <c r="A170" s="139"/>
      <c r="B170" s="123"/>
      <c r="C170" s="237"/>
      <c r="D170" s="141"/>
      <c r="E170" s="128"/>
      <c r="F170" s="142"/>
      <c r="G170" s="128"/>
      <c r="H170" s="540" t="s">
        <v>461</v>
      </c>
      <c r="I170" s="349" t="s">
        <v>383</v>
      </c>
      <c r="J170" s="350" t="s">
        <v>250</v>
      </c>
      <c r="K170" s="350"/>
      <c r="L170" s="353" t="s">
        <v>383</v>
      </c>
      <c r="M170" s="381" t="s">
        <v>267</v>
      </c>
      <c r="N170" s="350"/>
      <c r="O170" s="350"/>
      <c r="P170" s="350"/>
      <c r="Q170" s="351"/>
      <c r="R170" s="351"/>
      <c r="S170" s="351"/>
      <c r="T170" s="351"/>
      <c r="U170" s="351"/>
      <c r="V170" s="351"/>
      <c r="W170" s="351"/>
      <c r="X170" s="365"/>
      <c r="Y170" s="154"/>
      <c r="Z170" s="147"/>
      <c r="AA170" s="147"/>
      <c r="AB170" s="148"/>
      <c r="AC170" s="154"/>
      <c r="AD170" s="147"/>
      <c r="AE170" s="147"/>
      <c r="AF170" s="148"/>
      <c r="AI170" s="109" t="str">
        <f>"36:field226:" &amp; IF(I170="■",1,IF(L170="■",2,0))</f>
        <v>36:field226:0</v>
      </c>
    </row>
    <row r="171" spans="1:37" ht="18.75" customHeight="1" x14ac:dyDescent="0.2">
      <c r="A171" s="139"/>
      <c r="B171" s="123"/>
      <c r="C171" s="248"/>
      <c r="D171" s="141"/>
      <c r="E171" s="128"/>
      <c r="F171" s="142"/>
      <c r="G171" s="128"/>
      <c r="H171" s="540" t="s">
        <v>462</v>
      </c>
      <c r="I171" s="349" t="s">
        <v>383</v>
      </c>
      <c r="J171" s="350" t="s">
        <v>250</v>
      </c>
      <c r="K171" s="350"/>
      <c r="L171" s="353" t="s">
        <v>383</v>
      </c>
      <c r="M171" s="381" t="s">
        <v>267</v>
      </c>
      <c r="N171" s="350"/>
      <c r="O171" s="350"/>
      <c r="P171" s="350"/>
      <c r="Q171" s="351"/>
      <c r="R171" s="351"/>
      <c r="S171" s="351"/>
      <c r="T171" s="351"/>
      <c r="U171" s="351"/>
      <c r="V171" s="351"/>
      <c r="W171" s="351"/>
      <c r="X171" s="365"/>
      <c r="Y171" s="154"/>
      <c r="Z171" s="147"/>
      <c r="AA171" s="147"/>
      <c r="AB171" s="148"/>
      <c r="AC171" s="154"/>
      <c r="AD171" s="147"/>
      <c r="AE171" s="147"/>
      <c r="AF171" s="148"/>
      <c r="AI171" s="109" t="str">
        <f>"36:field227:" &amp; IF(I171="■",1,IF(L171="■",2,0))</f>
        <v>36:field227:0</v>
      </c>
    </row>
    <row r="172" spans="1:37" ht="18.75" customHeight="1" x14ac:dyDescent="0.2">
      <c r="A172" s="139"/>
      <c r="B172" s="123"/>
      <c r="C172" s="237"/>
      <c r="D172" s="141"/>
      <c r="E172" s="128"/>
      <c r="F172" s="142"/>
      <c r="G172" s="270"/>
      <c r="H172" s="435" t="s">
        <v>442</v>
      </c>
      <c r="I172" s="349" t="s">
        <v>383</v>
      </c>
      <c r="J172" s="350" t="s">
        <v>250</v>
      </c>
      <c r="K172" s="350"/>
      <c r="L172" s="353" t="s">
        <v>383</v>
      </c>
      <c r="M172" s="350" t="s">
        <v>251</v>
      </c>
      <c r="N172" s="350"/>
      <c r="O172" s="353" t="s">
        <v>383</v>
      </c>
      <c r="P172" s="350" t="s">
        <v>252</v>
      </c>
      <c r="Q172" s="355"/>
      <c r="R172" s="355"/>
      <c r="S172" s="355"/>
      <c r="T172" s="355"/>
      <c r="U172" s="410"/>
      <c r="V172" s="410"/>
      <c r="W172" s="410"/>
      <c r="X172" s="411"/>
      <c r="Y172" s="154"/>
      <c r="Z172" s="147"/>
      <c r="AA172" s="147"/>
      <c r="AB172" s="148"/>
      <c r="AC172" s="154"/>
      <c r="AD172" s="147"/>
      <c r="AE172" s="147"/>
      <c r="AF172" s="148"/>
      <c r="AI172" s="109" t="str">
        <f>"36:field225:" &amp; IF(I172="■",1,IF(L172="■",2,IF(O172="■",3,0)))</f>
        <v>36:field225:0</v>
      </c>
    </row>
    <row r="173" spans="1:37" ht="18.75" customHeight="1" x14ac:dyDescent="0.2">
      <c r="A173" s="139"/>
      <c r="B173" s="123"/>
      <c r="C173" s="237"/>
      <c r="D173" s="141"/>
      <c r="E173" s="128"/>
      <c r="F173" s="142"/>
      <c r="G173" s="270"/>
      <c r="H173" s="508" t="s">
        <v>118</v>
      </c>
      <c r="I173" s="349" t="s">
        <v>383</v>
      </c>
      <c r="J173" s="350" t="s">
        <v>250</v>
      </c>
      <c r="K173" s="350"/>
      <c r="L173" s="353" t="s">
        <v>383</v>
      </c>
      <c r="M173" s="350" t="s">
        <v>258</v>
      </c>
      <c r="N173" s="350"/>
      <c r="O173" s="353" t="s">
        <v>383</v>
      </c>
      <c r="P173" s="350" t="s">
        <v>269</v>
      </c>
      <c r="Q173" s="531"/>
      <c r="R173" s="353" t="s">
        <v>383</v>
      </c>
      <c r="S173" s="350" t="s">
        <v>283</v>
      </c>
      <c r="T173" s="531"/>
      <c r="U173" s="531"/>
      <c r="V173" s="531"/>
      <c r="W173" s="531"/>
      <c r="X173" s="440"/>
      <c r="Y173" s="154"/>
      <c r="Z173" s="147"/>
      <c r="AA173" s="147"/>
      <c r="AB173" s="148"/>
      <c r="AC173" s="154"/>
      <c r="AD173" s="147"/>
      <c r="AE173" s="147"/>
      <c r="AF173" s="148"/>
      <c r="AI173" s="109" t="str">
        <f>"36:serteikyo_kyoka_code:" &amp; IF(I173="■",1,IF(L173="■",6,IF(O173="■",2,IF(R173="■",7,0))))</f>
        <v>36:serteikyo_kyoka_code:0</v>
      </c>
    </row>
    <row r="174" spans="1:37" s="621" customFormat="1" ht="20.399999999999999" customHeight="1" x14ac:dyDescent="0.2">
      <c r="A174" s="139"/>
      <c r="B174" s="670"/>
      <c r="C174" s="140"/>
      <c r="D174" s="141"/>
      <c r="E174" s="128"/>
      <c r="F174" s="142"/>
      <c r="G174" s="143"/>
      <c r="H174" s="713" t="s">
        <v>790</v>
      </c>
      <c r="I174" s="642" t="s">
        <v>383</v>
      </c>
      <c r="J174" s="616" t="s">
        <v>627</v>
      </c>
      <c r="K174" s="616"/>
      <c r="L174" s="615"/>
      <c r="M174" s="644" t="s">
        <v>383</v>
      </c>
      <c r="N174" s="616" t="s">
        <v>791</v>
      </c>
      <c r="O174" s="617"/>
      <c r="P174" s="615"/>
      <c r="Q174" s="644" t="s">
        <v>383</v>
      </c>
      <c r="R174" s="618" t="s">
        <v>792</v>
      </c>
      <c r="S174" s="615"/>
      <c r="T174" s="615"/>
      <c r="U174" s="615"/>
      <c r="V174" s="618"/>
      <c r="W174" s="619"/>
      <c r="X174" s="620"/>
      <c r="Y174" s="154"/>
      <c r="Z174" s="147"/>
      <c r="AA174" s="147"/>
      <c r="AB174" s="148"/>
      <c r="AC174" s="154"/>
      <c r="AD174" s="147"/>
      <c r="AE174" s="147"/>
      <c r="AF174" s="148"/>
    </row>
    <row r="175" spans="1:37" s="621" customFormat="1" ht="18.75" customHeight="1" x14ac:dyDescent="0.2">
      <c r="A175" s="183"/>
      <c r="B175" s="658"/>
      <c r="C175" s="185"/>
      <c r="D175" s="186"/>
      <c r="E175" s="187"/>
      <c r="F175" s="188"/>
      <c r="G175" s="189"/>
      <c r="H175" s="714"/>
      <c r="I175" s="643" t="s">
        <v>383</v>
      </c>
      <c r="J175" s="623" t="s">
        <v>793</v>
      </c>
      <c r="K175" s="623"/>
      <c r="L175" s="622"/>
      <c r="M175" s="211" t="s">
        <v>383</v>
      </c>
      <c r="N175" s="623" t="s">
        <v>794</v>
      </c>
      <c r="O175" s="624"/>
      <c r="P175" s="622"/>
      <c r="Q175" s="211" t="s">
        <v>383</v>
      </c>
      <c r="R175" s="623" t="s">
        <v>795</v>
      </c>
      <c r="S175" s="622"/>
      <c r="T175" s="623"/>
      <c r="U175" s="211" t="s">
        <v>383</v>
      </c>
      <c r="V175" s="623" t="s">
        <v>796</v>
      </c>
      <c r="W175" s="625"/>
      <c r="X175" s="626"/>
      <c r="Y175" s="194"/>
      <c r="Z175" s="147"/>
      <c r="AA175" s="147"/>
      <c r="AB175" s="148"/>
      <c r="AC175" s="194"/>
      <c r="AD175" s="147"/>
      <c r="AE175" s="147"/>
      <c r="AF175" s="148"/>
    </row>
    <row r="176" spans="1:37" ht="18.75" customHeight="1" x14ac:dyDescent="0.2">
      <c r="A176" s="129"/>
      <c r="B176" s="116"/>
      <c r="C176" s="233"/>
      <c r="D176" s="132"/>
      <c r="E176" s="121"/>
      <c r="F176" s="132"/>
      <c r="G176" s="136"/>
      <c r="H176" s="559" t="s">
        <v>93</v>
      </c>
      <c r="I176" s="367" t="s">
        <v>383</v>
      </c>
      <c r="J176" s="368" t="s">
        <v>250</v>
      </c>
      <c r="K176" s="368"/>
      <c r="L176" s="370"/>
      <c r="M176" s="371" t="s">
        <v>383</v>
      </c>
      <c r="N176" s="368" t="s">
        <v>281</v>
      </c>
      <c r="O176" s="368"/>
      <c r="P176" s="370"/>
      <c r="Q176" s="371" t="s">
        <v>383</v>
      </c>
      <c r="R176" s="457" t="s">
        <v>282</v>
      </c>
      <c r="S176" s="457"/>
      <c r="T176" s="457"/>
      <c r="U176" s="457"/>
      <c r="V176" s="457"/>
      <c r="W176" s="457"/>
      <c r="X176" s="560"/>
      <c r="Y176" s="138" t="s">
        <v>383</v>
      </c>
      <c r="Z176" s="119" t="s">
        <v>249</v>
      </c>
      <c r="AA176" s="119"/>
      <c r="AB176" s="137"/>
      <c r="AC176" s="138" t="s">
        <v>383</v>
      </c>
      <c r="AD176" s="119" t="s">
        <v>249</v>
      </c>
      <c r="AE176" s="119"/>
      <c r="AF176" s="137"/>
      <c r="AG176" s="109" t="str">
        <f>"ser_code = '" &amp; IF(A180="■",28,"") &amp; "'"</f>
        <v>ser_code = ''</v>
      </c>
      <c r="AH176" s="109"/>
      <c r="AI176" s="109" t="str">
        <f>"28:"&amp;IF(AND(I176="□",M176="□",Q176="□"),"ketu_kangos_code:0",IF(I176="■","ketu_kangos_code:1:ketu_kshoku_code:1",IF(M176="■","ketu_kangos_code:2","ketu_kangos_code:1")&amp;IF(Q176="■",":ketu_kshoku_code:2",":ketu_kshoku_code:1")))</f>
        <v>28:ketu_kangos_code:0</v>
      </c>
      <c r="AJ176" s="109" t="str">
        <f>"28:field203:" &amp; IF(Y176="■",1,IF(Y177="■",2,0))</f>
        <v>28:field203:0</v>
      </c>
      <c r="AK176" s="109" t="str">
        <f>"28:waribiki_code:" &amp; IF(AC176="■",1,IF(AC177="■",2,0))</f>
        <v>28:waribiki_code:0</v>
      </c>
    </row>
    <row r="177" spans="1:37" ht="18.75" customHeight="1" x14ac:dyDescent="0.2">
      <c r="A177" s="139"/>
      <c r="B177" s="123"/>
      <c r="C177" s="237"/>
      <c r="D177" s="142"/>
      <c r="E177" s="128"/>
      <c r="F177" s="260"/>
      <c r="G177" s="270"/>
      <c r="H177" s="458" t="s">
        <v>185</v>
      </c>
      <c r="I177" s="349" t="s">
        <v>383</v>
      </c>
      <c r="J177" s="350" t="s">
        <v>395</v>
      </c>
      <c r="K177" s="351"/>
      <c r="L177" s="352"/>
      <c r="M177" s="353" t="s">
        <v>383</v>
      </c>
      <c r="N177" s="350" t="s">
        <v>396</v>
      </c>
      <c r="O177" s="355"/>
      <c r="P177" s="355"/>
      <c r="Q177" s="351"/>
      <c r="R177" s="351"/>
      <c r="S177" s="351"/>
      <c r="T177" s="351"/>
      <c r="U177" s="351"/>
      <c r="V177" s="351"/>
      <c r="W177" s="351"/>
      <c r="X177" s="365"/>
      <c r="Y177" s="125" t="s">
        <v>383</v>
      </c>
      <c r="Z177" s="126" t="s">
        <v>255</v>
      </c>
      <c r="AA177" s="147"/>
      <c r="AB177" s="148"/>
      <c r="AC177" s="125" t="s">
        <v>383</v>
      </c>
      <c r="AD177" s="126" t="s">
        <v>255</v>
      </c>
      <c r="AE177" s="147"/>
      <c r="AF177" s="148"/>
      <c r="AG177" s="109" t="str">
        <f>"28:sisetukbn_code:" &amp; IF(D180="■",1,IF(D181="■",2,IF(D182="■",5,IF(D183="■",6,0))))</f>
        <v>28:sisetukbn_code:0</v>
      </c>
      <c r="AI177" s="109" t="str">
        <f>"28:sintaikousoku_code:" &amp; IF(I177="■",1,IF(M177="■",2,0))</f>
        <v>28:sintaikousoku_code:0</v>
      </c>
    </row>
    <row r="178" spans="1:37" ht="19.5" customHeight="1" x14ac:dyDescent="0.2">
      <c r="A178" s="139"/>
      <c r="B178" s="123"/>
      <c r="C178" s="140"/>
      <c r="D178" s="141"/>
      <c r="E178" s="128"/>
      <c r="F178" s="142"/>
      <c r="G178" s="143"/>
      <c r="H178" s="348" t="s">
        <v>430</v>
      </c>
      <c r="I178" s="349" t="s">
        <v>383</v>
      </c>
      <c r="J178" s="350" t="s">
        <v>395</v>
      </c>
      <c r="K178" s="351"/>
      <c r="L178" s="352"/>
      <c r="M178" s="353" t="s">
        <v>383</v>
      </c>
      <c r="N178" s="350" t="s">
        <v>431</v>
      </c>
      <c r="O178" s="355"/>
      <c r="P178" s="350"/>
      <c r="Q178" s="355"/>
      <c r="R178" s="355"/>
      <c r="S178" s="355"/>
      <c r="T178" s="355"/>
      <c r="U178" s="355"/>
      <c r="V178" s="355"/>
      <c r="W178" s="355"/>
      <c r="X178" s="356"/>
      <c r="Y178" s="174"/>
      <c r="Z178" s="126"/>
      <c r="AA178" s="147"/>
      <c r="AB178" s="148"/>
      <c r="AC178" s="174"/>
      <c r="AD178" s="126"/>
      <c r="AE178" s="147"/>
      <c r="AF178" s="148"/>
      <c r="AG178" s="109"/>
      <c r="AI178" s="109" t="str">
        <f>"28:field223:" &amp; IF(I178="■",1,IF(M178="■",2,0))</f>
        <v>28:field223:0</v>
      </c>
    </row>
    <row r="179" spans="1:37" ht="19.5" customHeight="1" x14ac:dyDescent="0.2">
      <c r="A179" s="139"/>
      <c r="B179" s="123"/>
      <c r="C179" s="140"/>
      <c r="D179" s="141"/>
      <c r="E179" s="128"/>
      <c r="F179" s="142"/>
      <c r="G179" s="143"/>
      <c r="H179" s="155" t="s">
        <v>448</v>
      </c>
      <c r="I179" s="156" t="s">
        <v>383</v>
      </c>
      <c r="J179" s="157" t="s">
        <v>395</v>
      </c>
      <c r="K179" s="158"/>
      <c r="L179" s="159"/>
      <c r="M179" s="160" t="s">
        <v>383</v>
      </c>
      <c r="N179" s="157" t="s">
        <v>431</v>
      </c>
      <c r="O179" s="162"/>
      <c r="P179" s="157"/>
      <c r="Q179" s="162"/>
      <c r="R179" s="162"/>
      <c r="S179" s="162"/>
      <c r="T179" s="162"/>
      <c r="U179" s="162"/>
      <c r="V179" s="162"/>
      <c r="W179" s="162"/>
      <c r="X179" s="163"/>
      <c r="Y179" s="174"/>
      <c r="Z179" s="126"/>
      <c r="AA179" s="147"/>
      <c r="AB179" s="148"/>
      <c r="AC179" s="174"/>
      <c r="AD179" s="126"/>
      <c r="AE179" s="147"/>
      <c r="AF179" s="148"/>
      <c r="AI179" s="109" t="str">
        <f>"28:field232:" &amp; IF(I179="■",1,IF(M179="■",2,0))</f>
        <v>28:field232:0</v>
      </c>
    </row>
    <row r="180" spans="1:37" ht="18.75" customHeight="1" x14ac:dyDescent="0.2">
      <c r="A180" s="125" t="s">
        <v>383</v>
      </c>
      <c r="B180" s="123">
        <v>28</v>
      </c>
      <c r="C180" s="237" t="s">
        <v>571</v>
      </c>
      <c r="D180" s="125" t="s">
        <v>383</v>
      </c>
      <c r="E180" s="128" t="s">
        <v>505</v>
      </c>
      <c r="F180" s="142"/>
      <c r="G180" s="270"/>
      <c r="H180" s="204" t="s">
        <v>459</v>
      </c>
      <c r="I180" s="156" t="s">
        <v>383</v>
      </c>
      <c r="J180" s="157" t="s">
        <v>250</v>
      </c>
      <c r="K180" s="157"/>
      <c r="L180" s="159"/>
      <c r="M180" s="160" t="s">
        <v>383</v>
      </c>
      <c r="N180" s="157" t="s">
        <v>445</v>
      </c>
      <c r="O180" s="159"/>
      <c r="P180" s="160" t="s">
        <v>383</v>
      </c>
      <c r="Q180" s="157" t="s">
        <v>460</v>
      </c>
      <c r="R180" s="159"/>
      <c r="S180" s="157"/>
      <c r="T180" s="159"/>
      <c r="U180" s="157"/>
      <c r="V180" s="158"/>
      <c r="W180" s="162"/>
      <c r="X180" s="163"/>
      <c r="Y180" s="154"/>
      <c r="Z180" s="147"/>
      <c r="AA180" s="147"/>
      <c r="AB180" s="148"/>
      <c r="AC180" s="154"/>
      <c r="AD180" s="147"/>
      <c r="AE180" s="147"/>
      <c r="AF180" s="148"/>
      <c r="AI180" s="109" t="str">
        <f>"28:yakankango_code:" &amp; IF(I180="■",1,IF(M180="■",3,IF(P180="■",2,0)))</f>
        <v>28:yakankango_code:0</v>
      </c>
    </row>
    <row r="181" spans="1:37" ht="18.75" customHeight="1" x14ac:dyDescent="0.2">
      <c r="A181" s="139"/>
      <c r="B181" s="123"/>
      <c r="C181" s="237" t="s">
        <v>572</v>
      </c>
      <c r="D181" s="125" t="s">
        <v>383</v>
      </c>
      <c r="E181" s="128" t="s">
        <v>507</v>
      </c>
      <c r="F181" s="142"/>
      <c r="G181" s="270"/>
      <c r="H181" s="245" t="s">
        <v>186</v>
      </c>
      <c r="I181" s="156" t="s">
        <v>383</v>
      </c>
      <c r="J181" s="157" t="s">
        <v>250</v>
      </c>
      <c r="K181" s="158"/>
      <c r="L181" s="160" t="s">
        <v>383</v>
      </c>
      <c r="M181" s="157" t="s">
        <v>267</v>
      </c>
      <c r="N181" s="207"/>
      <c r="O181" s="207"/>
      <c r="P181" s="207"/>
      <c r="Q181" s="207"/>
      <c r="R181" s="207"/>
      <c r="S181" s="207"/>
      <c r="T181" s="207"/>
      <c r="U181" s="207"/>
      <c r="V181" s="207"/>
      <c r="W181" s="207"/>
      <c r="X181" s="208"/>
      <c r="Y181" s="154"/>
      <c r="Z181" s="147"/>
      <c r="AA181" s="147"/>
      <c r="AB181" s="148"/>
      <c r="AC181" s="154"/>
      <c r="AD181" s="147"/>
      <c r="AE181" s="147"/>
      <c r="AF181" s="148"/>
      <c r="AI181" s="109" t="str">
        <f>"28:jyakuninti_uke_code:" &amp; IF(I181="■",1,IF(L181="■",2,0))</f>
        <v>28:jyakuninti_uke_code:0</v>
      </c>
    </row>
    <row r="182" spans="1:37" ht="18.75" customHeight="1" x14ac:dyDescent="0.2">
      <c r="A182" s="139"/>
      <c r="B182" s="123"/>
      <c r="C182" s="237" t="s">
        <v>576</v>
      </c>
      <c r="D182" s="125" t="s">
        <v>383</v>
      </c>
      <c r="E182" s="128" t="s">
        <v>573</v>
      </c>
      <c r="F182" s="142"/>
      <c r="G182" s="128"/>
      <c r="H182" s="242" t="s">
        <v>461</v>
      </c>
      <c r="I182" s="156" t="s">
        <v>383</v>
      </c>
      <c r="J182" s="157" t="s">
        <v>250</v>
      </c>
      <c r="K182" s="157"/>
      <c r="L182" s="160" t="s">
        <v>383</v>
      </c>
      <c r="M182" s="169" t="s">
        <v>267</v>
      </c>
      <c r="N182" s="157"/>
      <c r="O182" s="157"/>
      <c r="P182" s="157"/>
      <c r="Q182" s="158"/>
      <c r="R182" s="158"/>
      <c r="S182" s="158"/>
      <c r="T182" s="158"/>
      <c r="U182" s="158"/>
      <c r="V182" s="158"/>
      <c r="W182" s="158"/>
      <c r="X182" s="166"/>
      <c r="Y182" s="154"/>
      <c r="Z182" s="147"/>
      <c r="AA182" s="147"/>
      <c r="AB182" s="148"/>
      <c r="AC182" s="154"/>
      <c r="AD182" s="147"/>
      <c r="AE182" s="147"/>
      <c r="AF182" s="148"/>
      <c r="AI182" s="109" t="str">
        <f>"28:field226:" &amp; IF(I182="■",1,IF(L182="■",2,0))</f>
        <v>28:field226:0</v>
      </c>
    </row>
    <row r="183" spans="1:37" ht="18.75" customHeight="1" x14ac:dyDescent="0.2">
      <c r="A183" s="139"/>
      <c r="B183" s="123"/>
      <c r="C183" s="140"/>
      <c r="D183" s="125" t="s">
        <v>383</v>
      </c>
      <c r="E183" s="128" t="s">
        <v>574</v>
      </c>
      <c r="F183" s="142"/>
      <c r="G183" s="128"/>
      <c r="H183" s="242" t="s">
        <v>462</v>
      </c>
      <c r="I183" s="156" t="s">
        <v>383</v>
      </c>
      <c r="J183" s="157" t="s">
        <v>250</v>
      </c>
      <c r="K183" s="157"/>
      <c r="L183" s="160" t="s">
        <v>383</v>
      </c>
      <c r="M183" s="169" t="s">
        <v>267</v>
      </c>
      <c r="N183" s="157"/>
      <c r="O183" s="157"/>
      <c r="P183" s="157"/>
      <c r="Q183" s="158"/>
      <c r="R183" s="158"/>
      <c r="S183" s="158"/>
      <c r="T183" s="158"/>
      <c r="U183" s="158"/>
      <c r="V183" s="158"/>
      <c r="W183" s="158"/>
      <c r="X183" s="166"/>
      <c r="Y183" s="154"/>
      <c r="Z183" s="147"/>
      <c r="AA183" s="147"/>
      <c r="AB183" s="148"/>
      <c r="AC183" s="154"/>
      <c r="AD183" s="147"/>
      <c r="AE183" s="147"/>
      <c r="AF183" s="148"/>
      <c r="AI183" s="109" t="str">
        <f>"28:field227:" &amp; IF(I183="■",1,IF(L183="■",2,0))</f>
        <v>28:field227:0</v>
      </c>
    </row>
    <row r="184" spans="1:37" ht="18.75" customHeight="1" x14ac:dyDescent="0.2">
      <c r="A184" s="139"/>
      <c r="B184" s="123"/>
      <c r="C184" s="237"/>
      <c r="D184" s="141"/>
      <c r="E184" s="128"/>
      <c r="F184" s="142"/>
      <c r="G184" s="270"/>
      <c r="H184" s="250" t="s">
        <v>442</v>
      </c>
      <c r="I184" s="156" t="s">
        <v>383</v>
      </c>
      <c r="J184" s="157" t="s">
        <v>250</v>
      </c>
      <c r="K184" s="157"/>
      <c r="L184" s="160" t="s">
        <v>383</v>
      </c>
      <c r="M184" s="157" t="s">
        <v>251</v>
      </c>
      <c r="N184" s="157"/>
      <c r="O184" s="160" t="s">
        <v>383</v>
      </c>
      <c r="P184" s="157" t="s">
        <v>252</v>
      </c>
      <c r="Q184" s="162"/>
      <c r="R184" s="162"/>
      <c r="S184" s="162"/>
      <c r="T184" s="162"/>
      <c r="U184" s="251"/>
      <c r="V184" s="251"/>
      <c r="W184" s="251"/>
      <c r="X184" s="252"/>
      <c r="Y184" s="154"/>
      <c r="Z184" s="147"/>
      <c r="AA184" s="147"/>
      <c r="AB184" s="148"/>
      <c r="AC184" s="154"/>
      <c r="AD184" s="147"/>
      <c r="AE184" s="147"/>
      <c r="AF184" s="148"/>
      <c r="AI184" s="109" t="str">
        <f>"28:field225:" &amp; IF(I184="■",1,IF(L184="■",2,IF(O184="■",3,0)))</f>
        <v>28:field225:0</v>
      </c>
    </row>
    <row r="185" spans="1:37" ht="18.75" customHeight="1" x14ac:dyDescent="0.2">
      <c r="A185" s="139"/>
      <c r="B185" s="123"/>
      <c r="C185" s="140"/>
      <c r="D185" s="141"/>
      <c r="E185" s="128"/>
      <c r="F185" s="142"/>
      <c r="G185" s="270"/>
      <c r="H185" s="245" t="s">
        <v>118</v>
      </c>
      <c r="I185" s="156" t="s">
        <v>383</v>
      </c>
      <c r="J185" s="157" t="s">
        <v>250</v>
      </c>
      <c r="K185" s="157"/>
      <c r="L185" s="160" t="s">
        <v>383</v>
      </c>
      <c r="M185" s="157" t="s">
        <v>258</v>
      </c>
      <c r="N185" s="157"/>
      <c r="O185" s="160" t="s">
        <v>383</v>
      </c>
      <c r="P185" s="157" t="s">
        <v>269</v>
      </c>
      <c r="Q185" s="207"/>
      <c r="R185" s="160" t="s">
        <v>383</v>
      </c>
      <c r="S185" s="157" t="s">
        <v>283</v>
      </c>
      <c r="T185" s="207"/>
      <c r="U185" s="207"/>
      <c r="V185" s="207"/>
      <c r="W185" s="207"/>
      <c r="X185" s="208"/>
      <c r="Y185" s="154"/>
      <c r="Z185" s="147"/>
      <c r="AA185" s="147"/>
      <c r="AB185" s="148"/>
      <c r="AC185" s="154"/>
      <c r="AD185" s="147"/>
      <c r="AE185" s="147"/>
      <c r="AF185" s="148"/>
      <c r="AI185" s="109" t="str">
        <f>"28:serteikyo_kyoka_code:" &amp; IF(I185="■",1,IF(L185="■",6,IF(O185="■",2,IF(R185="■",7,0))))</f>
        <v>28:serteikyo_kyoka_code:0</v>
      </c>
    </row>
    <row r="186" spans="1:37" s="621" customFormat="1" ht="20.399999999999999" customHeight="1" x14ac:dyDescent="0.2">
      <c r="A186" s="139"/>
      <c r="B186" s="670"/>
      <c r="C186" s="140"/>
      <c r="D186" s="141"/>
      <c r="E186" s="128"/>
      <c r="F186" s="142"/>
      <c r="G186" s="143"/>
      <c r="H186" s="713" t="s">
        <v>790</v>
      </c>
      <c r="I186" s="642" t="s">
        <v>383</v>
      </c>
      <c r="J186" s="616" t="s">
        <v>627</v>
      </c>
      <c r="K186" s="616"/>
      <c r="L186" s="615"/>
      <c r="M186" s="644" t="s">
        <v>383</v>
      </c>
      <c r="N186" s="616" t="s">
        <v>791</v>
      </c>
      <c r="O186" s="617"/>
      <c r="P186" s="615"/>
      <c r="Q186" s="644" t="s">
        <v>383</v>
      </c>
      <c r="R186" s="618" t="s">
        <v>792</v>
      </c>
      <c r="S186" s="615"/>
      <c r="T186" s="615"/>
      <c r="U186" s="615"/>
      <c r="V186" s="618"/>
      <c r="W186" s="619"/>
      <c r="X186" s="620"/>
      <c r="Y186" s="154"/>
      <c r="Z186" s="147"/>
      <c r="AA186" s="147"/>
      <c r="AB186" s="148"/>
      <c r="AC186" s="154"/>
      <c r="AD186" s="147"/>
      <c r="AE186" s="147"/>
      <c r="AF186" s="148"/>
    </row>
    <row r="187" spans="1:37" s="621" customFormat="1" ht="18.75" customHeight="1" x14ac:dyDescent="0.2">
      <c r="A187" s="183"/>
      <c r="B187" s="658"/>
      <c r="C187" s="185"/>
      <c r="D187" s="186"/>
      <c r="E187" s="187"/>
      <c r="F187" s="188"/>
      <c r="G187" s="189"/>
      <c r="H187" s="714"/>
      <c r="I187" s="643" t="s">
        <v>383</v>
      </c>
      <c r="J187" s="623" t="s">
        <v>793</v>
      </c>
      <c r="K187" s="623"/>
      <c r="L187" s="622"/>
      <c r="M187" s="211" t="s">
        <v>383</v>
      </c>
      <c r="N187" s="623" t="s">
        <v>794</v>
      </c>
      <c r="O187" s="624"/>
      <c r="P187" s="622"/>
      <c r="Q187" s="211" t="s">
        <v>383</v>
      </c>
      <c r="R187" s="623" t="s">
        <v>795</v>
      </c>
      <c r="S187" s="622"/>
      <c r="T187" s="623"/>
      <c r="U187" s="211" t="s">
        <v>383</v>
      </c>
      <c r="V187" s="623" t="s">
        <v>796</v>
      </c>
      <c r="W187" s="625"/>
      <c r="X187" s="626"/>
      <c r="Y187" s="194"/>
      <c r="Z187" s="147"/>
      <c r="AA187" s="147"/>
      <c r="AB187" s="148"/>
      <c r="AC187" s="194"/>
      <c r="AD187" s="147"/>
      <c r="AE187" s="147"/>
      <c r="AF187" s="148"/>
    </row>
    <row r="188" spans="1:37" ht="18.75" customHeight="1" x14ac:dyDescent="0.2">
      <c r="A188" s="129"/>
      <c r="B188" s="116"/>
      <c r="C188" s="233"/>
      <c r="D188" s="132"/>
      <c r="E188" s="121"/>
      <c r="F188" s="132"/>
      <c r="G188" s="121"/>
      <c r="H188" s="559" t="s">
        <v>97</v>
      </c>
      <c r="I188" s="367" t="s">
        <v>383</v>
      </c>
      <c r="J188" s="368" t="s">
        <v>300</v>
      </c>
      <c r="K188" s="369"/>
      <c r="L188" s="370"/>
      <c r="M188" s="371" t="s">
        <v>383</v>
      </c>
      <c r="N188" s="368" t="s">
        <v>301</v>
      </c>
      <c r="O188" s="372"/>
      <c r="P188" s="372"/>
      <c r="Q188" s="372"/>
      <c r="R188" s="372"/>
      <c r="S188" s="372"/>
      <c r="T188" s="372"/>
      <c r="U188" s="372"/>
      <c r="V188" s="372"/>
      <c r="W188" s="372"/>
      <c r="X188" s="373"/>
      <c r="Y188" s="138" t="s">
        <v>383</v>
      </c>
      <c r="Z188" s="119" t="s">
        <v>249</v>
      </c>
      <c r="AA188" s="119"/>
      <c r="AB188" s="137"/>
      <c r="AC188" s="138" t="s">
        <v>383</v>
      </c>
      <c r="AD188" s="119" t="s">
        <v>249</v>
      </c>
      <c r="AE188" s="119"/>
      <c r="AF188" s="137"/>
      <c r="AG188" s="109" t="str">
        <f>"ser_code = '" &amp; IF(A209="■",54,"") &amp; "'"</f>
        <v>ser_code = ''</v>
      </c>
      <c r="AH188" s="109" t="str">
        <f>"54:jininkbn_code:"&amp;IF(F208="■",1,IF(F209="■",2,0))</f>
        <v>54:jininkbn_code:0</v>
      </c>
      <c r="AI188" s="109" t="str">
        <f>"54:yakan_kinmu_code:" &amp; IF(I188="■",1,IF(M188="■",6,0))</f>
        <v>54:yakan_kinmu_code:0</v>
      </c>
      <c r="AJ188" s="109" t="str">
        <f>"54:field203:" &amp; IF(Y188="■",1,IF(Y189="■",2,0))</f>
        <v>54:field203:0</v>
      </c>
      <c r="AK188" s="109" t="str">
        <f>"54:waribiki_code:" &amp; IF(AC188="■",1,IF(AC189="■",2,0))</f>
        <v>54:waribiki_code:0</v>
      </c>
    </row>
    <row r="189" spans="1:37" ht="18.75" customHeight="1" x14ac:dyDescent="0.2">
      <c r="A189" s="139"/>
      <c r="B189" s="123"/>
      <c r="C189" s="237"/>
      <c r="D189" s="142"/>
      <c r="E189" s="128"/>
      <c r="F189" s="142"/>
      <c r="G189" s="128"/>
      <c r="H189" s="851" t="s">
        <v>93</v>
      </c>
      <c r="I189" s="536" t="s">
        <v>383</v>
      </c>
      <c r="J189" s="375" t="s">
        <v>250</v>
      </c>
      <c r="K189" s="375"/>
      <c r="L189" s="376"/>
      <c r="M189" s="561" t="s">
        <v>383</v>
      </c>
      <c r="N189" s="375" t="s">
        <v>281</v>
      </c>
      <c r="O189" s="375"/>
      <c r="P189" s="376"/>
      <c r="Q189" s="561" t="s">
        <v>383</v>
      </c>
      <c r="R189" s="534" t="s">
        <v>282</v>
      </c>
      <c r="S189" s="534"/>
      <c r="T189" s="534"/>
      <c r="U189" s="534"/>
      <c r="V189" s="534"/>
      <c r="W189" s="534"/>
      <c r="X189" s="379"/>
      <c r="Y189" s="125" t="s">
        <v>383</v>
      </c>
      <c r="Z189" s="126" t="s">
        <v>255</v>
      </c>
      <c r="AA189" s="147"/>
      <c r="AB189" s="148"/>
      <c r="AC189" s="125" t="s">
        <v>383</v>
      </c>
      <c r="AD189" s="126" t="s">
        <v>255</v>
      </c>
      <c r="AE189" s="147"/>
      <c r="AF189" s="148"/>
      <c r="AG189" s="109" t="str">
        <f>"54:sisetukbn_code:" &amp; IF(D207="■",1,IF(D208="■",2,IF(D210="■",3,IF(D211="■",4,0))))</f>
        <v>54:sisetukbn_code:0</v>
      </c>
      <c r="AI189" s="109" t="str">
        <f>"54:"&amp;IF(AND(I189="□",M189="□",Q189="□",I190="□"),"ketu_kangos_code:0",IF(I189="■","ketu_kangos_code:1:ketu_kshoku_code:1:ketu_ksiensou_code=1",IF(M189="■","ketu_kangos_code:2","ketu_kangos_code:1")
&amp;IF(Q189="■",":ketu_kshoku_code:2",":ketu_kshoku_code:1")
&amp;IF(I190="■",":ketu_ksiensou_code:2",":ketu_ksiensou_code:1")))</f>
        <v>54:ketu_kangos_code:0</v>
      </c>
    </row>
    <row r="190" spans="1:37" ht="18.75" customHeight="1" x14ac:dyDescent="0.2">
      <c r="A190" s="139"/>
      <c r="B190" s="123"/>
      <c r="C190" s="237"/>
      <c r="D190" s="142"/>
      <c r="E190" s="128"/>
      <c r="F190" s="142"/>
      <c r="G190" s="128"/>
      <c r="H190" s="852"/>
      <c r="I190" s="537" t="s">
        <v>383</v>
      </c>
      <c r="J190" s="381" t="s">
        <v>577</v>
      </c>
      <c r="K190" s="381"/>
      <c r="L190" s="419"/>
      <c r="M190" s="419"/>
      <c r="N190" s="419"/>
      <c r="O190" s="419"/>
      <c r="P190" s="419"/>
      <c r="Q190" s="419"/>
      <c r="R190" s="419"/>
      <c r="S190" s="419"/>
      <c r="T190" s="419"/>
      <c r="U190" s="419"/>
      <c r="V190" s="419"/>
      <c r="W190" s="419"/>
      <c r="X190" s="468"/>
      <c r="Y190" s="154"/>
      <c r="Z190" s="147"/>
      <c r="AA190" s="147"/>
      <c r="AB190" s="148"/>
      <c r="AC190" s="154"/>
      <c r="AD190" s="147"/>
      <c r="AE190" s="147"/>
      <c r="AF190" s="148"/>
    </row>
    <row r="191" spans="1:37" ht="18.75" customHeight="1" x14ac:dyDescent="0.2">
      <c r="A191" s="139"/>
      <c r="B191" s="123"/>
      <c r="C191" s="237"/>
      <c r="D191" s="142"/>
      <c r="E191" s="128"/>
      <c r="F191" s="142"/>
      <c r="G191" s="128"/>
      <c r="H191" s="508" t="s">
        <v>98</v>
      </c>
      <c r="I191" s="349" t="s">
        <v>383</v>
      </c>
      <c r="J191" s="350" t="s">
        <v>265</v>
      </c>
      <c r="K191" s="351"/>
      <c r="L191" s="352"/>
      <c r="M191" s="353" t="s">
        <v>383</v>
      </c>
      <c r="N191" s="350" t="s">
        <v>266</v>
      </c>
      <c r="O191" s="355"/>
      <c r="P191" s="355"/>
      <c r="Q191" s="355"/>
      <c r="R191" s="355"/>
      <c r="S191" s="355"/>
      <c r="T191" s="355"/>
      <c r="U191" s="355"/>
      <c r="V191" s="355"/>
      <c r="W191" s="355"/>
      <c r="X191" s="356"/>
      <c r="Y191" s="154"/>
      <c r="Z191" s="147"/>
      <c r="AA191" s="147"/>
      <c r="AB191" s="148"/>
      <c r="AC191" s="154"/>
      <c r="AD191" s="147"/>
      <c r="AE191" s="147"/>
      <c r="AF191" s="148"/>
      <c r="AI191" s="109" t="str">
        <f>"54:unitcare_code:" &amp; IF(I191="■",1,IF(M191="■",2,0))</f>
        <v>54:unitcare_code:0</v>
      </c>
    </row>
    <row r="192" spans="1:37" ht="18.75" customHeight="1" x14ac:dyDescent="0.2">
      <c r="A192" s="139"/>
      <c r="B192" s="123"/>
      <c r="C192" s="237"/>
      <c r="D192" s="142"/>
      <c r="E192" s="128"/>
      <c r="F192" s="142"/>
      <c r="G192" s="128"/>
      <c r="H192" s="458" t="s">
        <v>185</v>
      </c>
      <c r="I192" s="349" t="s">
        <v>383</v>
      </c>
      <c r="J192" s="350" t="s">
        <v>395</v>
      </c>
      <c r="K192" s="351"/>
      <c r="L192" s="352"/>
      <c r="M192" s="353" t="s">
        <v>383</v>
      </c>
      <c r="N192" s="350" t="s">
        <v>396</v>
      </c>
      <c r="O192" s="355"/>
      <c r="P192" s="355"/>
      <c r="Q192" s="351"/>
      <c r="R192" s="351"/>
      <c r="S192" s="351"/>
      <c r="T192" s="351"/>
      <c r="U192" s="351"/>
      <c r="V192" s="351"/>
      <c r="W192" s="351"/>
      <c r="X192" s="365"/>
      <c r="Y192" s="154"/>
      <c r="Z192" s="147"/>
      <c r="AA192" s="147"/>
      <c r="AB192" s="148"/>
      <c r="AC192" s="154"/>
      <c r="AD192" s="147"/>
      <c r="AE192" s="147"/>
      <c r="AF192" s="148"/>
      <c r="AI192" s="109" t="str">
        <f>"54:sintaikousoku_code:" &amp; IF(I192="■",1,IF(M192="■",2,0))</f>
        <v>54:sintaikousoku_code:0</v>
      </c>
    </row>
    <row r="193" spans="1:35" ht="18.75" customHeight="1" x14ac:dyDescent="0.2">
      <c r="A193" s="139"/>
      <c r="B193" s="123"/>
      <c r="C193" s="237"/>
      <c r="D193" s="142"/>
      <c r="E193" s="128"/>
      <c r="F193" s="142"/>
      <c r="G193" s="128"/>
      <c r="H193" s="540" t="s">
        <v>200</v>
      </c>
      <c r="I193" s="349" t="s">
        <v>383</v>
      </c>
      <c r="J193" s="350" t="s">
        <v>395</v>
      </c>
      <c r="K193" s="351"/>
      <c r="L193" s="352"/>
      <c r="M193" s="353" t="s">
        <v>383</v>
      </c>
      <c r="N193" s="350" t="s">
        <v>396</v>
      </c>
      <c r="O193" s="355"/>
      <c r="P193" s="355"/>
      <c r="Q193" s="351"/>
      <c r="R193" s="351"/>
      <c r="S193" s="351"/>
      <c r="T193" s="351"/>
      <c r="U193" s="351"/>
      <c r="V193" s="351"/>
      <c r="W193" s="351"/>
      <c r="X193" s="365"/>
      <c r="Y193" s="154"/>
      <c r="Z193" s="147"/>
      <c r="AA193" s="147"/>
      <c r="AB193" s="148"/>
      <c r="AC193" s="154"/>
      <c r="AD193" s="147"/>
      <c r="AE193" s="147"/>
      <c r="AF193" s="148"/>
      <c r="AI193" s="109" t="str">
        <f>"54:field208:" &amp; IF(I193="■",1,IF(M193="■",2,0))</f>
        <v>54:field208:0</v>
      </c>
    </row>
    <row r="194" spans="1:35" ht="19.5" customHeight="1" x14ac:dyDescent="0.2">
      <c r="A194" s="139"/>
      <c r="B194" s="123"/>
      <c r="C194" s="140"/>
      <c r="D194" s="141"/>
      <c r="E194" s="128"/>
      <c r="F194" s="142"/>
      <c r="G194" s="143"/>
      <c r="H194" s="348" t="s">
        <v>430</v>
      </c>
      <c r="I194" s="349" t="s">
        <v>383</v>
      </c>
      <c r="J194" s="350" t="s">
        <v>395</v>
      </c>
      <c r="K194" s="351"/>
      <c r="L194" s="352"/>
      <c r="M194" s="353" t="s">
        <v>383</v>
      </c>
      <c r="N194" s="350" t="s">
        <v>431</v>
      </c>
      <c r="O194" s="355"/>
      <c r="P194" s="350"/>
      <c r="Q194" s="355"/>
      <c r="R194" s="355"/>
      <c r="S194" s="355"/>
      <c r="T194" s="355"/>
      <c r="U194" s="355"/>
      <c r="V194" s="355"/>
      <c r="W194" s="355"/>
      <c r="X194" s="356"/>
      <c r="Y194" s="147"/>
      <c r="Z194" s="147"/>
      <c r="AA194" s="147"/>
      <c r="AB194" s="148"/>
      <c r="AC194" s="154"/>
      <c r="AD194" s="147"/>
      <c r="AE194" s="147"/>
      <c r="AF194" s="148"/>
      <c r="AI194" s="109" t="str">
        <f>"54:field223:" &amp; IF(I194="■",1,IF(M194="■",2,0))</f>
        <v>54:field223:0</v>
      </c>
    </row>
    <row r="195" spans="1:35" ht="19.5" customHeight="1" x14ac:dyDescent="0.2">
      <c r="A195" s="139"/>
      <c r="B195" s="123"/>
      <c r="C195" s="140"/>
      <c r="D195" s="141"/>
      <c r="E195" s="128"/>
      <c r="F195" s="142"/>
      <c r="G195" s="143"/>
      <c r="H195" s="348" t="s">
        <v>448</v>
      </c>
      <c r="I195" s="349" t="s">
        <v>383</v>
      </c>
      <c r="J195" s="350" t="s">
        <v>395</v>
      </c>
      <c r="K195" s="351"/>
      <c r="L195" s="352"/>
      <c r="M195" s="353" t="s">
        <v>383</v>
      </c>
      <c r="N195" s="350" t="s">
        <v>431</v>
      </c>
      <c r="O195" s="355"/>
      <c r="P195" s="350"/>
      <c r="Q195" s="355"/>
      <c r="R195" s="355"/>
      <c r="S195" s="355"/>
      <c r="T195" s="355"/>
      <c r="U195" s="355"/>
      <c r="V195" s="355"/>
      <c r="W195" s="355"/>
      <c r="X195" s="356"/>
      <c r="Y195" s="147"/>
      <c r="Z195" s="147"/>
      <c r="AA195" s="147"/>
      <c r="AB195" s="148"/>
      <c r="AC195" s="154"/>
      <c r="AD195" s="147"/>
      <c r="AE195" s="147"/>
      <c r="AF195" s="148"/>
      <c r="AI195" s="109" t="str">
        <f>"54:field232:" &amp; IF(I195="■",1,IF(M195="■",2,0))</f>
        <v>54:field232:0</v>
      </c>
    </row>
    <row r="196" spans="1:35" ht="18.75" customHeight="1" x14ac:dyDescent="0.2">
      <c r="A196" s="139"/>
      <c r="B196" s="123"/>
      <c r="C196" s="237"/>
      <c r="D196" s="142"/>
      <c r="E196" s="128"/>
      <c r="F196" s="142"/>
      <c r="G196" s="128"/>
      <c r="H196" s="743" t="s">
        <v>202</v>
      </c>
      <c r="I196" s="797" t="s">
        <v>383</v>
      </c>
      <c r="J196" s="796" t="s">
        <v>250</v>
      </c>
      <c r="K196" s="796"/>
      <c r="L196" s="797" t="s">
        <v>383</v>
      </c>
      <c r="M196" s="796" t="s">
        <v>267</v>
      </c>
      <c r="N196" s="796"/>
      <c r="O196" s="375"/>
      <c r="P196" s="375"/>
      <c r="Q196" s="375"/>
      <c r="R196" s="375"/>
      <c r="S196" s="375"/>
      <c r="T196" s="375"/>
      <c r="U196" s="375"/>
      <c r="V196" s="375"/>
      <c r="W196" s="375"/>
      <c r="X196" s="441"/>
      <c r="Y196" s="154"/>
      <c r="Z196" s="147"/>
      <c r="AA196" s="147"/>
      <c r="AB196" s="148"/>
      <c r="AC196" s="154"/>
      <c r="AD196" s="147"/>
      <c r="AE196" s="147"/>
      <c r="AF196" s="148"/>
      <c r="AI196" s="109" t="str">
        <f>"54:field206:" &amp; IF(I196="■",1,IF(L196="■",2,0))</f>
        <v>54:field206:0</v>
      </c>
    </row>
    <row r="197" spans="1:35" ht="18.75" customHeight="1" x14ac:dyDescent="0.2">
      <c r="A197" s="139"/>
      <c r="B197" s="123"/>
      <c r="C197" s="237"/>
      <c r="D197" s="142"/>
      <c r="E197" s="128"/>
      <c r="F197" s="142"/>
      <c r="G197" s="128"/>
      <c r="H197" s="744"/>
      <c r="I197" s="793"/>
      <c r="J197" s="795"/>
      <c r="K197" s="795"/>
      <c r="L197" s="793"/>
      <c r="M197" s="795"/>
      <c r="N197" s="795"/>
      <c r="O197" s="381"/>
      <c r="P197" s="381"/>
      <c r="Q197" s="381"/>
      <c r="R197" s="381"/>
      <c r="S197" s="381"/>
      <c r="T197" s="381"/>
      <c r="U197" s="381"/>
      <c r="V197" s="381"/>
      <c r="W197" s="381"/>
      <c r="X197" s="442"/>
      <c r="Y197" s="154"/>
      <c r="Z197" s="147"/>
      <c r="AA197" s="147"/>
      <c r="AB197" s="148"/>
      <c r="AC197" s="154"/>
      <c r="AD197" s="147"/>
      <c r="AE197" s="147"/>
      <c r="AF197" s="148"/>
    </row>
    <row r="198" spans="1:35" ht="18.75" customHeight="1" x14ac:dyDescent="0.2">
      <c r="A198" s="139"/>
      <c r="B198" s="123"/>
      <c r="C198" s="237"/>
      <c r="D198" s="142"/>
      <c r="E198" s="128"/>
      <c r="F198" s="142"/>
      <c r="G198" s="128"/>
      <c r="H198" s="508" t="s">
        <v>115</v>
      </c>
      <c r="I198" s="349" t="s">
        <v>383</v>
      </c>
      <c r="J198" s="350" t="s">
        <v>250</v>
      </c>
      <c r="K198" s="351"/>
      <c r="L198" s="353" t="s">
        <v>383</v>
      </c>
      <c r="M198" s="350" t="s">
        <v>267</v>
      </c>
      <c r="N198" s="531"/>
      <c r="O198" s="531"/>
      <c r="P198" s="531"/>
      <c r="Q198" s="531"/>
      <c r="R198" s="531"/>
      <c r="S198" s="531"/>
      <c r="T198" s="531"/>
      <c r="U198" s="531"/>
      <c r="V198" s="531"/>
      <c r="W198" s="531"/>
      <c r="X198" s="440"/>
      <c r="Y198" s="154"/>
      <c r="Z198" s="147"/>
      <c r="AA198" s="147"/>
      <c r="AB198" s="148"/>
      <c r="AC198" s="154"/>
      <c r="AD198" s="147"/>
      <c r="AE198" s="147"/>
      <c r="AF198" s="148"/>
      <c r="AI198" s="109" t="str">
        <f>"54:nitijyouseikatu_code:" &amp; IF(I198="■",1,IF(L198="■",2,0))</f>
        <v>54:nitijyouseikatu_code:0</v>
      </c>
    </row>
    <row r="199" spans="1:35" ht="18.75" customHeight="1" x14ac:dyDescent="0.2">
      <c r="A199" s="139"/>
      <c r="B199" s="123"/>
      <c r="C199" s="237"/>
      <c r="D199" s="142"/>
      <c r="E199" s="128"/>
      <c r="F199" s="142"/>
      <c r="G199" s="128"/>
      <c r="H199" s="743" t="s">
        <v>237</v>
      </c>
      <c r="I199" s="797" t="s">
        <v>383</v>
      </c>
      <c r="J199" s="796" t="s">
        <v>250</v>
      </c>
      <c r="K199" s="796"/>
      <c r="L199" s="797" t="s">
        <v>383</v>
      </c>
      <c r="M199" s="796" t="s">
        <v>267</v>
      </c>
      <c r="N199" s="796"/>
      <c r="O199" s="375"/>
      <c r="P199" s="375"/>
      <c r="Q199" s="375"/>
      <c r="R199" s="375"/>
      <c r="S199" s="375"/>
      <c r="T199" s="375"/>
      <c r="U199" s="375"/>
      <c r="V199" s="375"/>
      <c r="W199" s="375"/>
      <c r="X199" s="441"/>
      <c r="Y199" s="154"/>
      <c r="Z199" s="147"/>
      <c r="AA199" s="147"/>
      <c r="AB199" s="148"/>
      <c r="AC199" s="154"/>
      <c r="AD199" s="147"/>
      <c r="AE199" s="147"/>
      <c r="AF199" s="148"/>
      <c r="AI199" s="109" t="str">
        <f>"54:field215:" &amp; IF(I199="■",1,IF(L199="■",2,0))</f>
        <v>54:field215:0</v>
      </c>
    </row>
    <row r="200" spans="1:35" ht="18.75" customHeight="1" x14ac:dyDescent="0.2">
      <c r="A200" s="139"/>
      <c r="B200" s="123"/>
      <c r="C200" s="237"/>
      <c r="D200" s="142"/>
      <c r="E200" s="128"/>
      <c r="F200" s="142"/>
      <c r="G200" s="128"/>
      <c r="H200" s="744"/>
      <c r="I200" s="793"/>
      <c r="J200" s="795"/>
      <c r="K200" s="795"/>
      <c r="L200" s="793"/>
      <c r="M200" s="795"/>
      <c r="N200" s="795"/>
      <c r="O200" s="381"/>
      <c r="P200" s="381"/>
      <c r="Q200" s="381"/>
      <c r="R200" s="381"/>
      <c r="S200" s="381"/>
      <c r="T200" s="381"/>
      <c r="U200" s="381"/>
      <c r="V200" s="381"/>
      <c r="W200" s="381"/>
      <c r="X200" s="442"/>
      <c r="Y200" s="154"/>
      <c r="Z200" s="147"/>
      <c r="AA200" s="147"/>
      <c r="AB200" s="148"/>
      <c r="AC200" s="154"/>
      <c r="AD200" s="147"/>
      <c r="AE200" s="147"/>
      <c r="AF200" s="148"/>
    </row>
    <row r="201" spans="1:35" ht="18.75" customHeight="1" x14ac:dyDescent="0.2">
      <c r="A201" s="139"/>
      <c r="B201" s="123"/>
      <c r="C201" s="237"/>
      <c r="D201" s="142"/>
      <c r="E201" s="128"/>
      <c r="F201" s="142"/>
      <c r="G201" s="128"/>
      <c r="H201" s="508" t="s">
        <v>176</v>
      </c>
      <c r="I201" s="349" t="s">
        <v>383</v>
      </c>
      <c r="J201" s="350" t="s">
        <v>250</v>
      </c>
      <c r="K201" s="351"/>
      <c r="L201" s="353" t="s">
        <v>383</v>
      </c>
      <c r="M201" s="350" t="s">
        <v>267</v>
      </c>
      <c r="N201" s="531"/>
      <c r="O201" s="531"/>
      <c r="P201" s="531"/>
      <c r="Q201" s="531"/>
      <c r="R201" s="531"/>
      <c r="S201" s="531"/>
      <c r="T201" s="531"/>
      <c r="U201" s="531"/>
      <c r="V201" s="531"/>
      <c r="W201" s="531"/>
      <c r="X201" s="440"/>
      <c r="Y201" s="154"/>
      <c r="Z201" s="147"/>
      <c r="AA201" s="147"/>
      <c r="AB201" s="148"/>
      <c r="AC201" s="154"/>
      <c r="AD201" s="147"/>
      <c r="AE201" s="147"/>
      <c r="AF201" s="148"/>
      <c r="AI201" s="109" t="str">
        <f>"54:field200:" &amp; IF(I201="■",1,IF(L201="■",2,0))</f>
        <v>54:field200:0</v>
      </c>
    </row>
    <row r="202" spans="1:35" ht="18.75" customHeight="1" x14ac:dyDescent="0.2">
      <c r="A202" s="139"/>
      <c r="B202" s="123"/>
      <c r="C202" s="237"/>
      <c r="D202" s="142"/>
      <c r="E202" s="128"/>
      <c r="F202" s="142"/>
      <c r="G202" s="128"/>
      <c r="H202" s="508" t="s">
        <v>177</v>
      </c>
      <c r="I202" s="349" t="s">
        <v>383</v>
      </c>
      <c r="J202" s="350" t="s">
        <v>250</v>
      </c>
      <c r="K202" s="351"/>
      <c r="L202" s="353" t="s">
        <v>383</v>
      </c>
      <c r="M202" s="350" t="s">
        <v>267</v>
      </c>
      <c r="N202" s="531"/>
      <c r="O202" s="531"/>
      <c r="P202" s="531"/>
      <c r="Q202" s="531"/>
      <c r="R202" s="531"/>
      <c r="S202" s="531"/>
      <c r="T202" s="531"/>
      <c r="U202" s="531"/>
      <c r="V202" s="531"/>
      <c r="W202" s="531"/>
      <c r="X202" s="440"/>
      <c r="Y202" s="154"/>
      <c r="Z202" s="147"/>
      <c r="AA202" s="147"/>
      <c r="AB202" s="148"/>
      <c r="AC202" s="154"/>
      <c r="AD202" s="147"/>
      <c r="AE202" s="147"/>
      <c r="AF202" s="148"/>
      <c r="AI202" s="109" t="str">
        <f>"54:field201:" &amp; IF(I202="■",1,IF(L202="■",2,0))</f>
        <v>54:field201:0</v>
      </c>
    </row>
    <row r="203" spans="1:35" ht="18.75" customHeight="1" x14ac:dyDescent="0.2">
      <c r="A203" s="139"/>
      <c r="B203" s="123"/>
      <c r="C203" s="237"/>
      <c r="D203" s="142"/>
      <c r="E203" s="128"/>
      <c r="F203" s="142"/>
      <c r="G203" s="128"/>
      <c r="H203" s="508" t="s">
        <v>111</v>
      </c>
      <c r="I203" s="536" t="s">
        <v>383</v>
      </c>
      <c r="J203" s="350" t="s">
        <v>250</v>
      </c>
      <c r="K203" s="350"/>
      <c r="L203" s="353" t="s">
        <v>383</v>
      </c>
      <c r="M203" s="350" t="s">
        <v>304</v>
      </c>
      <c r="N203" s="350"/>
      <c r="O203" s="351"/>
      <c r="P203" s="351"/>
      <c r="Q203" s="353" t="s">
        <v>383</v>
      </c>
      <c r="R203" s="350" t="s">
        <v>400</v>
      </c>
      <c r="S203" s="350"/>
      <c r="T203" s="351"/>
      <c r="U203" s="351"/>
      <c r="V203" s="351"/>
      <c r="W203" s="351"/>
      <c r="X203" s="365"/>
      <c r="Y203" s="154"/>
      <c r="Z203" s="147"/>
      <c r="AA203" s="147"/>
      <c r="AB203" s="148"/>
      <c r="AC203" s="154"/>
      <c r="AD203" s="147"/>
      <c r="AE203" s="147"/>
      <c r="AF203" s="148"/>
      <c r="AI203" s="109" t="str">
        <f>"54:yakinhaiti_code:"&amp;IF(I203="■",1,IF(Q203="■",3,IF(L203="■",2,0)))</f>
        <v>54:yakinhaiti_code:0</v>
      </c>
    </row>
    <row r="204" spans="1:35" ht="18.75" customHeight="1" x14ac:dyDescent="0.2">
      <c r="A204" s="139"/>
      <c r="B204" s="123"/>
      <c r="C204" s="237"/>
      <c r="D204" s="142"/>
      <c r="E204" s="128"/>
      <c r="F204" s="142"/>
      <c r="G204" s="128"/>
      <c r="H204" s="743" t="s">
        <v>231</v>
      </c>
      <c r="I204" s="797" t="s">
        <v>383</v>
      </c>
      <c r="J204" s="796" t="s">
        <v>250</v>
      </c>
      <c r="K204" s="796"/>
      <c r="L204" s="797" t="s">
        <v>383</v>
      </c>
      <c r="M204" s="796" t="s">
        <v>267</v>
      </c>
      <c r="N204" s="796"/>
      <c r="O204" s="375"/>
      <c r="P204" s="375"/>
      <c r="Q204" s="375"/>
      <c r="R204" s="375"/>
      <c r="S204" s="375"/>
      <c r="T204" s="375"/>
      <c r="U204" s="375"/>
      <c r="V204" s="375"/>
      <c r="W204" s="375"/>
      <c r="X204" s="441"/>
      <c r="Y204" s="154"/>
      <c r="Z204" s="147"/>
      <c r="AA204" s="147"/>
      <c r="AB204" s="148"/>
      <c r="AC204" s="154"/>
      <c r="AD204" s="147"/>
      <c r="AE204" s="147"/>
      <c r="AF204" s="148"/>
      <c r="AI204" s="109" t="str">
        <f>"54:field161:" &amp; IF(I204="■",1,IF(L204="■",2,0))</f>
        <v>54:field161:0</v>
      </c>
    </row>
    <row r="205" spans="1:35" ht="18.75" customHeight="1" x14ac:dyDescent="0.2">
      <c r="A205" s="139"/>
      <c r="B205" s="123"/>
      <c r="C205" s="237"/>
      <c r="D205" s="142"/>
      <c r="E205" s="128"/>
      <c r="F205" s="142"/>
      <c r="G205" s="128"/>
      <c r="H205" s="744"/>
      <c r="I205" s="793"/>
      <c r="J205" s="795"/>
      <c r="K205" s="795"/>
      <c r="L205" s="793"/>
      <c r="M205" s="795"/>
      <c r="N205" s="795"/>
      <c r="O205" s="381"/>
      <c r="P205" s="381"/>
      <c r="Q205" s="381"/>
      <c r="R205" s="381"/>
      <c r="S205" s="381"/>
      <c r="T205" s="381"/>
      <c r="U205" s="381"/>
      <c r="V205" s="381"/>
      <c r="W205" s="381"/>
      <c r="X205" s="442"/>
      <c r="Y205" s="154"/>
      <c r="Z205" s="147"/>
      <c r="AA205" s="147"/>
      <c r="AB205" s="148"/>
      <c r="AC205" s="154"/>
      <c r="AD205" s="147"/>
      <c r="AE205" s="147"/>
      <c r="AF205" s="148"/>
    </row>
    <row r="206" spans="1:35" ht="18.75" customHeight="1" x14ac:dyDescent="0.2">
      <c r="A206" s="139"/>
      <c r="B206" s="123"/>
      <c r="C206" s="237"/>
      <c r="F206" s="142"/>
      <c r="G206" s="128"/>
      <c r="H206" s="508" t="s">
        <v>104</v>
      </c>
      <c r="I206" s="349" t="s">
        <v>383</v>
      </c>
      <c r="J206" s="350" t="s">
        <v>265</v>
      </c>
      <c r="K206" s="351"/>
      <c r="L206" s="352"/>
      <c r="M206" s="353" t="s">
        <v>383</v>
      </c>
      <c r="N206" s="350" t="s">
        <v>266</v>
      </c>
      <c r="O206" s="355"/>
      <c r="P206" s="355"/>
      <c r="Q206" s="355"/>
      <c r="R206" s="355"/>
      <c r="S206" s="355"/>
      <c r="T206" s="355"/>
      <c r="U206" s="355"/>
      <c r="V206" s="355"/>
      <c r="W206" s="355"/>
      <c r="X206" s="356"/>
      <c r="Y206" s="154"/>
      <c r="Z206" s="147"/>
      <c r="AA206" s="147"/>
      <c r="AB206" s="148"/>
      <c r="AC206" s="154"/>
      <c r="AD206" s="147"/>
      <c r="AE206" s="147"/>
      <c r="AF206" s="148"/>
      <c r="AI206" s="109" t="str">
        <f>"54:jyun_unit_code:" &amp; IF(I206="■",1,IF(M206="■",2,0))</f>
        <v>54:jyun_unit_code:0</v>
      </c>
    </row>
    <row r="207" spans="1:35" ht="18.75" customHeight="1" x14ac:dyDescent="0.2">
      <c r="A207" s="139"/>
      <c r="B207" s="123"/>
      <c r="C207" s="237"/>
      <c r="D207" s="125" t="s">
        <v>383</v>
      </c>
      <c r="E207" s="128" t="s">
        <v>578</v>
      </c>
      <c r="F207" s="142"/>
      <c r="G207" s="128"/>
      <c r="H207" s="461" t="s">
        <v>183</v>
      </c>
      <c r="I207" s="349" t="s">
        <v>383</v>
      </c>
      <c r="J207" s="350" t="s">
        <v>250</v>
      </c>
      <c r="K207" s="350"/>
      <c r="L207" s="353" t="s">
        <v>383</v>
      </c>
      <c r="M207" s="350" t="s">
        <v>268</v>
      </c>
      <c r="N207" s="350"/>
      <c r="O207" s="353" t="s">
        <v>383</v>
      </c>
      <c r="P207" s="350" t="s">
        <v>269</v>
      </c>
      <c r="Q207" s="531"/>
      <c r="R207" s="531"/>
      <c r="S207" s="531"/>
      <c r="T207" s="531"/>
      <c r="U207" s="531"/>
      <c r="V207" s="531"/>
      <c r="W207" s="531"/>
      <c r="X207" s="440"/>
      <c r="Y207" s="154"/>
      <c r="Z207" s="147"/>
      <c r="AA207" s="147"/>
      <c r="AB207" s="148"/>
      <c r="AC207" s="154"/>
      <c r="AD207" s="147"/>
      <c r="AE207" s="147"/>
      <c r="AF207" s="148"/>
      <c r="AI207" s="109" t="str">
        <f>"54:field185:" &amp; IF(I207="■",1,IF(L207="■",3,IF(O207="■",2,0)))</f>
        <v>54:field185:0</v>
      </c>
    </row>
    <row r="208" spans="1:35" ht="18.75" customHeight="1" x14ac:dyDescent="0.2">
      <c r="A208" s="139"/>
      <c r="B208" s="123"/>
      <c r="C208" s="237" t="s">
        <v>579</v>
      </c>
      <c r="D208" s="125" t="s">
        <v>383</v>
      </c>
      <c r="E208" s="128" t="s">
        <v>580</v>
      </c>
      <c r="F208" s="125" t="s">
        <v>383</v>
      </c>
      <c r="G208" s="128" t="s">
        <v>581</v>
      </c>
      <c r="H208" s="461" t="s">
        <v>234</v>
      </c>
      <c r="I208" s="349" t="s">
        <v>383</v>
      </c>
      <c r="J208" s="350" t="s">
        <v>250</v>
      </c>
      <c r="K208" s="351"/>
      <c r="L208" s="353" t="s">
        <v>383</v>
      </c>
      <c r="M208" s="350" t="s">
        <v>268</v>
      </c>
      <c r="N208" s="531"/>
      <c r="O208" s="353" t="s">
        <v>383</v>
      </c>
      <c r="P208" s="350" t="s">
        <v>277</v>
      </c>
      <c r="Q208" s="531"/>
      <c r="R208" s="353" t="s">
        <v>383</v>
      </c>
      <c r="S208" s="350" t="s">
        <v>451</v>
      </c>
      <c r="T208" s="531"/>
      <c r="U208" s="531"/>
      <c r="V208" s="350"/>
      <c r="W208" s="531"/>
      <c r="X208" s="440"/>
      <c r="Y208" s="154"/>
      <c r="Z208" s="147"/>
      <c r="AA208" s="147"/>
      <c r="AB208" s="148"/>
      <c r="AC208" s="154"/>
      <c r="AD208" s="147"/>
      <c r="AE208" s="147"/>
      <c r="AF208" s="148"/>
      <c r="AI208" s="109" t="str">
        <f>"54:kobetu_kunren_code:" &amp; IF(I208="■",1,IF(R208="■",5,IF(O208="■",4,IF(L208="■",3,0))))</f>
        <v>54:kobetu_kunren_code:0</v>
      </c>
    </row>
    <row r="209" spans="1:35" ht="18.75" customHeight="1" x14ac:dyDescent="0.2">
      <c r="A209" s="125" t="s">
        <v>383</v>
      </c>
      <c r="B209" s="123">
        <v>54</v>
      </c>
      <c r="C209" s="237" t="s">
        <v>582</v>
      </c>
      <c r="D209" s="142"/>
      <c r="E209" s="128" t="s">
        <v>583</v>
      </c>
      <c r="F209" s="125" t="s">
        <v>383</v>
      </c>
      <c r="G209" s="128" t="s">
        <v>584</v>
      </c>
      <c r="H209" s="540" t="s">
        <v>545</v>
      </c>
      <c r="I209" s="349" t="s">
        <v>383</v>
      </c>
      <c r="J209" s="350" t="s">
        <v>250</v>
      </c>
      <c r="K209" s="351"/>
      <c r="L209" s="353" t="s">
        <v>383</v>
      </c>
      <c r="M209" s="350" t="s">
        <v>267</v>
      </c>
      <c r="N209" s="531"/>
      <c r="O209" s="531"/>
      <c r="P209" s="531"/>
      <c r="Q209" s="531"/>
      <c r="R209" s="531"/>
      <c r="S209" s="531"/>
      <c r="T209" s="531"/>
      <c r="U209" s="531"/>
      <c r="V209" s="531"/>
      <c r="W209" s="531"/>
      <c r="X209" s="440"/>
      <c r="Y209" s="154"/>
      <c r="Z209" s="147"/>
      <c r="AA209" s="147"/>
      <c r="AB209" s="148"/>
      <c r="AC209" s="154"/>
      <c r="AD209" s="147"/>
      <c r="AE209" s="147"/>
      <c r="AF209" s="148"/>
      <c r="AI209" s="109" t="str">
        <f>"54:field186:" &amp; IF(I209="■",1,IF(L209="■",2,0))</f>
        <v>54:field186:0</v>
      </c>
    </row>
    <row r="210" spans="1:35" ht="18.75" customHeight="1" x14ac:dyDescent="0.2">
      <c r="A210" s="139"/>
      <c r="B210" s="123"/>
      <c r="C210" s="237" t="s">
        <v>585</v>
      </c>
      <c r="D210" s="125" t="s">
        <v>383</v>
      </c>
      <c r="E210" s="128" t="s">
        <v>586</v>
      </c>
      <c r="F210" s="142"/>
      <c r="G210" s="128"/>
      <c r="H210" s="508" t="s">
        <v>122</v>
      </c>
      <c r="I210" s="349" t="s">
        <v>383</v>
      </c>
      <c r="J210" s="350" t="s">
        <v>250</v>
      </c>
      <c r="K210" s="351"/>
      <c r="L210" s="353" t="s">
        <v>383</v>
      </c>
      <c r="M210" s="350" t="s">
        <v>267</v>
      </c>
      <c r="N210" s="531"/>
      <c r="O210" s="531"/>
      <c r="P210" s="531"/>
      <c r="Q210" s="531"/>
      <c r="R210" s="531"/>
      <c r="S210" s="531"/>
      <c r="T210" s="531"/>
      <c r="U210" s="531"/>
      <c r="V210" s="531"/>
      <c r="W210" s="531"/>
      <c r="X210" s="440"/>
      <c r="Y210" s="154"/>
      <c r="Z210" s="147"/>
      <c r="AA210" s="147"/>
      <c r="AB210" s="148"/>
      <c r="AC210" s="154"/>
      <c r="AD210" s="147"/>
      <c r="AE210" s="147"/>
      <c r="AF210" s="148"/>
      <c r="AI210" s="109" t="str">
        <f>"54:jyakuninti_uke_code:" &amp; IF(I210="■",1,IF(L210="■",2,0))</f>
        <v>54:jyakuninti_uke_code:0</v>
      </c>
    </row>
    <row r="211" spans="1:35" ht="18.75" customHeight="1" x14ac:dyDescent="0.2">
      <c r="A211" s="139"/>
      <c r="B211" s="123"/>
      <c r="C211" s="237"/>
      <c r="D211" s="125" t="s">
        <v>383</v>
      </c>
      <c r="E211" s="128" t="s">
        <v>587</v>
      </c>
      <c r="F211" s="142"/>
      <c r="G211" s="128"/>
      <c r="H211" s="508" t="s">
        <v>105</v>
      </c>
      <c r="I211" s="349" t="s">
        <v>383</v>
      </c>
      <c r="J211" s="350" t="s">
        <v>250</v>
      </c>
      <c r="K211" s="351"/>
      <c r="L211" s="353" t="s">
        <v>383</v>
      </c>
      <c r="M211" s="350" t="s">
        <v>267</v>
      </c>
      <c r="N211" s="531"/>
      <c r="O211" s="531"/>
      <c r="P211" s="531"/>
      <c r="Q211" s="531"/>
      <c r="R211" s="531"/>
      <c r="S211" s="531"/>
      <c r="T211" s="531"/>
      <c r="U211" s="531"/>
      <c r="V211" s="531"/>
      <c r="W211" s="531"/>
      <c r="X211" s="440"/>
      <c r="Y211" s="154"/>
      <c r="Z211" s="147"/>
      <c r="AA211" s="147"/>
      <c r="AB211" s="148"/>
      <c r="AC211" s="154"/>
      <c r="AD211" s="147"/>
      <c r="AE211" s="147"/>
      <c r="AF211" s="148"/>
      <c r="AI211" s="109" t="str">
        <f>"54:jyosen_doctor_code:" &amp; IF(I211="■",1,IF(L211="■",2,0))</f>
        <v>54:jyosen_doctor_code:0</v>
      </c>
    </row>
    <row r="212" spans="1:35" ht="18.75" customHeight="1" x14ac:dyDescent="0.2">
      <c r="A212" s="139"/>
      <c r="B212" s="123"/>
      <c r="C212" s="237"/>
      <c r="D212" s="142"/>
      <c r="E212" s="128" t="s">
        <v>588</v>
      </c>
      <c r="F212" s="142"/>
      <c r="G212" s="128"/>
      <c r="H212" s="508" t="s">
        <v>106</v>
      </c>
      <c r="I212" s="349" t="s">
        <v>383</v>
      </c>
      <c r="J212" s="350" t="s">
        <v>250</v>
      </c>
      <c r="K212" s="351"/>
      <c r="L212" s="353" t="s">
        <v>383</v>
      </c>
      <c r="M212" s="350" t="s">
        <v>267</v>
      </c>
      <c r="N212" s="531"/>
      <c r="O212" s="531"/>
      <c r="P212" s="531"/>
      <c r="Q212" s="531"/>
      <c r="R212" s="531"/>
      <c r="S212" s="531"/>
      <c r="T212" s="531"/>
      <c r="U212" s="531"/>
      <c r="V212" s="531"/>
      <c r="W212" s="531"/>
      <c r="X212" s="440"/>
      <c r="Y212" s="154"/>
      <c r="Z212" s="147"/>
      <c r="AA212" s="147"/>
      <c r="AB212" s="148"/>
      <c r="AC212" s="154"/>
      <c r="AD212" s="147"/>
      <c r="AE212" s="147"/>
      <c r="AF212" s="148"/>
      <c r="AI212" s="109" t="str">
        <f>"54:seisinsido_code:" &amp; IF(I212="■",1,IF(L212="■",2,0))</f>
        <v>54:seisinsido_code:0</v>
      </c>
    </row>
    <row r="213" spans="1:35" ht="18.75" customHeight="1" x14ac:dyDescent="0.2">
      <c r="A213" s="139"/>
      <c r="B213" s="123"/>
      <c r="C213" s="237"/>
      <c r="D213" s="142"/>
      <c r="E213" s="128"/>
      <c r="F213" s="142"/>
      <c r="G213" s="128"/>
      <c r="H213" s="508" t="s">
        <v>589</v>
      </c>
      <c r="I213" s="536" t="s">
        <v>383</v>
      </c>
      <c r="J213" s="350" t="s">
        <v>250</v>
      </c>
      <c r="K213" s="350"/>
      <c r="L213" s="353" t="s">
        <v>383</v>
      </c>
      <c r="M213" s="350" t="s">
        <v>251</v>
      </c>
      <c r="N213" s="350"/>
      <c r="O213" s="561" t="s">
        <v>383</v>
      </c>
      <c r="P213" s="350" t="s">
        <v>252</v>
      </c>
      <c r="Q213" s="531"/>
      <c r="R213" s="531"/>
      <c r="S213" s="531"/>
      <c r="T213" s="531"/>
      <c r="U213" s="531"/>
      <c r="V213" s="531"/>
      <c r="W213" s="531"/>
      <c r="X213" s="440"/>
      <c r="Y213" s="154"/>
      <c r="Z213" s="147"/>
      <c r="AA213" s="147"/>
      <c r="AB213" s="148"/>
      <c r="AC213" s="154"/>
      <c r="AD213" s="147"/>
      <c r="AE213" s="147"/>
      <c r="AF213" s="148"/>
      <c r="AI213" s="109" t="str">
        <f>"54:shougai_code:" &amp; IF(I213="■",1,IF(L213="■",2,IF(O213="■",3,0)))</f>
        <v>54:shougai_code:0</v>
      </c>
    </row>
    <row r="214" spans="1:35" ht="18.75" customHeight="1" x14ac:dyDescent="0.2">
      <c r="A214" s="139"/>
      <c r="B214" s="123"/>
      <c r="C214" s="237"/>
      <c r="D214" s="142"/>
      <c r="E214" s="128"/>
      <c r="F214" s="142"/>
      <c r="G214" s="128"/>
      <c r="H214" s="540" t="s">
        <v>199</v>
      </c>
      <c r="I214" s="349" t="s">
        <v>383</v>
      </c>
      <c r="J214" s="350" t="s">
        <v>250</v>
      </c>
      <c r="K214" s="351"/>
      <c r="L214" s="353" t="s">
        <v>383</v>
      </c>
      <c r="M214" s="350" t="s">
        <v>267</v>
      </c>
      <c r="N214" s="531"/>
      <c r="O214" s="531"/>
      <c r="P214" s="531"/>
      <c r="Q214" s="531"/>
      <c r="R214" s="531"/>
      <c r="S214" s="531"/>
      <c r="T214" s="531"/>
      <c r="U214" s="531"/>
      <c r="V214" s="531"/>
      <c r="W214" s="531"/>
      <c r="X214" s="440"/>
      <c r="Y214" s="154"/>
      <c r="Z214" s="147"/>
      <c r="AA214" s="147"/>
      <c r="AB214" s="148"/>
      <c r="AC214" s="154"/>
      <c r="AD214" s="147"/>
      <c r="AE214" s="147"/>
      <c r="AF214" s="148"/>
      <c r="AI214" s="109" t="str">
        <f>"54:field207:" &amp; IF(I214="■",1,IF(L214="■",2,0))</f>
        <v>54:field207:0</v>
      </c>
    </row>
    <row r="215" spans="1:35" ht="18.75" customHeight="1" x14ac:dyDescent="0.2">
      <c r="A215" s="139"/>
      <c r="B215" s="123"/>
      <c r="C215" s="237"/>
      <c r="D215" s="142"/>
      <c r="E215" s="128"/>
      <c r="F215" s="142"/>
      <c r="G215" s="128"/>
      <c r="H215" s="508" t="s">
        <v>112</v>
      </c>
      <c r="I215" s="349" t="s">
        <v>383</v>
      </c>
      <c r="J215" s="350" t="s">
        <v>250</v>
      </c>
      <c r="K215" s="351"/>
      <c r="L215" s="353" t="s">
        <v>383</v>
      </c>
      <c r="M215" s="350" t="s">
        <v>267</v>
      </c>
      <c r="N215" s="531"/>
      <c r="O215" s="531"/>
      <c r="P215" s="531"/>
      <c r="Q215" s="531"/>
      <c r="R215" s="531"/>
      <c r="S215" s="531"/>
      <c r="T215" s="531"/>
      <c r="U215" s="531"/>
      <c r="V215" s="531"/>
      <c r="W215" s="531"/>
      <c r="X215" s="440"/>
      <c r="Y215" s="154"/>
      <c r="Z215" s="147"/>
      <c r="AA215" s="147"/>
      <c r="AB215" s="148"/>
      <c r="AC215" s="154"/>
      <c r="AD215" s="147"/>
      <c r="AE215" s="147"/>
      <c r="AF215" s="148"/>
      <c r="AI215" s="109" t="str">
        <f>"54:ryouyoushoku_code:" &amp; IF(I215="■",1,IF(L215="■",2,0))</f>
        <v>54:ryouyoushoku_code:0</v>
      </c>
    </row>
    <row r="216" spans="1:35" ht="18.75" customHeight="1" x14ac:dyDescent="0.2">
      <c r="A216" s="139"/>
      <c r="B216" s="123"/>
      <c r="C216" s="237"/>
      <c r="D216" s="142"/>
      <c r="E216" s="128"/>
      <c r="F216" s="142"/>
      <c r="G216" s="128"/>
      <c r="H216" s="508" t="s">
        <v>173</v>
      </c>
      <c r="I216" s="349" t="s">
        <v>383</v>
      </c>
      <c r="J216" s="350" t="s">
        <v>250</v>
      </c>
      <c r="K216" s="351"/>
      <c r="L216" s="353" t="s">
        <v>383</v>
      </c>
      <c r="M216" s="350" t="s">
        <v>267</v>
      </c>
      <c r="N216" s="531"/>
      <c r="O216" s="531"/>
      <c r="P216" s="531"/>
      <c r="Q216" s="531"/>
      <c r="R216" s="531"/>
      <c r="S216" s="531"/>
      <c r="T216" s="531"/>
      <c r="U216" s="531"/>
      <c r="V216" s="531"/>
      <c r="W216" s="531"/>
      <c r="X216" s="440"/>
      <c r="Y216" s="154"/>
      <c r="Z216" s="147"/>
      <c r="AA216" s="147"/>
      <c r="AB216" s="148"/>
      <c r="AC216" s="154"/>
      <c r="AD216" s="147"/>
      <c r="AE216" s="147"/>
      <c r="AF216" s="148"/>
      <c r="AI216" s="109" t="str">
        <f>"54:field176:" &amp; IF(I216="■",1,IF(L216="■",2,0))</f>
        <v>54:field176:0</v>
      </c>
    </row>
    <row r="217" spans="1:35" ht="18.75" customHeight="1" x14ac:dyDescent="0.2">
      <c r="A217" s="139"/>
      <c r="B217" s="123"/>
      <c r="C217" s="237"/>
      <c r="D217" s="142"/>
      <c r="E217" s="128"/>
      <c r="F217" s="142"/>
      <c r="G217" s="128"/>
      <c r="H217" s="508" t="s">
        <v>108</v>
      </c>
      <c r="I217" s="536" t="s">
        <v>383</v>
      </c>
      <c r="J217" s="350" t="s">
        <v>250</v>
      </c>
      <c r="K217" s="350"/>
      <c r="L217" s="353" t="s">
        <v>383</v>
      </c>
      <c r="M217" s="350" t="s">
        <v>251</v>
      </c>
      <c r="N217" s="350"/>
      <c r="O217" s="561" t="s">
        <v>383</v>
      </c>
      <c r="P217" s="350" t="s">
        <v>252</v>
      </c>
      <c r="Q217" s="531"/>
      <c r="R217" s="531"/>
      <c r="S217" s="531"/>
      <c r="T217" s="531"/>
      <c r="U217" s="531"/>
      <c r="V217" s="531"/>
      <c r="W217" s="531"/>
      <c r="X217" s="440"/>
      <c r="Y217" s="154"/>
      <c r="Z217" s="147"/>
      <c r="AA217" s="147"/>
      <c r="AB217" s="148"/>
      <c r="AC217" s="154"/>
      <c r="AD217" s="147"/>
      <c r="AE217" s="147"/>
      <c r="AF217" s="148"/>
      <c r="AI217" s="109" t="str">
        <f>"54:terminal_code:" &amp; IF(I217="■",1,IF(O217="■",3,IF(L217="■",2,0)))</f>
        <v>54:terminal_code:0</v>
      </c>
    </row>
    <row r="218" spans="1:35" ht="18.75" customHeight="1" x14ac:dyDescent="0.2">
      <c r="A218" s="139"/>
      <c r="B218" s="123"/>
      <c r="C218" s="237"/>
      <c r="D218" s="142"/>
      <c r="E218" s="128"/>
      <c r="F218" s="142"/>
      <c r="G218" s="128"/>
      <c r="H218" s="508" t="s">
        <v>109</v>
      </c>
      <c r="I218" s="349" t="s">
        <v>383</v>
      </c>
      <c r="J218" s="350" t="s">
        <v>265</v>
      </c>
      <c r="K218" s="351"/>
      <c r="L218" s="352"/>
      <c r="M218" s="353" t="s">
        <v>383</v>
      </c>
      <c r="N218" s="350" t="s">
        <v>266</v>
      </c>
      <c r="O218" s="355"/>
      <c r="P218" s="355"/>
      <c r="Q218" s="355"/>
      <c r="R218" s="355"/>
      <c r="S218" s="355"/>
      <c r="T218" s="355"/>
      <c r="U218" s="355"/>
      <c r="V218" s="355"/>
      <c r="W218" s="355"/>
      <c r="X218" s="356"/>
      <c r="Y218" s="154"/>
      <c r="Z218" s="147"/>
      <c r="AA218" s="147"/>
      <c r="AB218" s="148"/>
      <c r="AC218" s="154"/>
      <c r="AD218" s="147"/>
      <c r="AE218" s="147"/>
      <c r="AF218" s="148"/>
      <c r="AI218" s="109" t="str">
        <f>"54:sougoriyo_code:" &amp; IF(I218="■",1,IF(M218="■",2,0))</f>
        <v>54:sougoriyo_code:0</v>
      </c>
    </row>
    <row r="219" spans="1:35" ht="18.75" customHeight="1" x14ac:dyDescent="0.2">
      <c r="A219" s="139"/>
      <c r="B219" s="123"/>
      <c r="C219" s="237"/>
      <c r="D219" s="142"/>
      <c r="E219" s="128"/>
      <c r="F219" s="142"/>
      <c r="G219" s="128"/>
      <c r="H219" s="508" t="s">
        <v>590</v>
      </c>
      <c r="I219" s="349" t="s">
        <v>383</v>
      </c>
      <c r="J219" s="350" t="s">
        <v>250</v>
      </c>
      <c r="K219" s="351"/>
      <c r="L219" s="353" t="s">
        <v>383</v>
      </c>
      <c r="M219" s="350" t="s">
        <v>267</v>
      </c>
      <c r="N219" s="531"/>
      <c r="O219" s="531"/>
      <c r="P219" s="531"/>
      <c r="Q219" s="531"/>
      <c r="R219" s="531"/>
      <c r="S219" s="531"/>
      <c r="T219" s="531"/>
      <c r="U219" s="531"/>
      <c r="V219" s="531"/>
      <c r="W219" s="531"/>
      <c r="X219" s="440"/>
      <c r="Y219" s="154"/>
      <c r="Z219" s="147"/>
      <c r="AA219" s="147"/>
      <c r="AB219" s="148"/>
      <c r="AC219" s="154"/>
      <c r="AD219" s="147"/>
      <c r="AE219" s="147"/>
      <c r="AF219" s="148"/>
      <c r="AI219" s="109" t="str">
        <f>"54:shoukibokyoten_code:" &amp; IF(I219="■",1,IF(L219="■",2,0))</f>
        <v>54:shoukibokyoten_code:0</v>
      </c>
    </row>
    <row r="220" spans="1:35" ht="18.75" customHeight="1" x14ac:dyDescent="0.2">
      <c r="A220" s="139"/>
      <c r="B220" s="123"/>
      <c r="C220" s="237"/>
      <c r="D220" s="142"/>
      <c r="E220" s="128"/>
      <c r="F220" s="142"/>
      <c r="G220" s="128"/>
      <c r="H220" s="508" t="s">
        <v>116</v>
      </c>
      <c r="I220" s="536" t="s">
        <v>383</v>
      </c>
      <c r="J220" s="350" t="s">
        <v>250</v>
      </c>
      <c r="K220" s="350"/>
      <c r="L220" s="353" t="s">
        <v>383</v>
      </c>
      <c r="M220" s="350" t="s">
        <v>251</v>
      </c>
      <c r="N220" s="350"/>
      <c r="O220" s="561" t="s">
        <v>383</v>
      </c>
      <c r="P220" s="350" t="s">
        <v>252</v>
      </c>
      <c r="Q220" s="531"/>
      <c r="R220" s="531"/>
      <c r="S220" s="531"/>
      <c r="T220" s="531"/>
      <c r="U220" s="531"/>
      <c r="V220" s="531"/>
      <c r="W220" s="531"/>
      <c r="X220" s="440"/>
      <c r="Y220" s="154"/>
      <c r="Z220" s="147"/>
      <c r="AA220" s="147"/>
      <c r="AB220" s="148"/>
      <c r="AC220" s="154"/>
      <c r="AD220" s="147"/>
      <c r="AE220" s="147"/>
      <c r="AF220" s="148"/>
      <c r="AI220" s="109" t="str">
        <f>"54:ninti_senmoncare_code:" &amp; IF(I220="■",1,IF(O220="■",3,IF(L220="■",2,0)))</f>
        <v>54:ninti_senmoncare_code:0</v>
      </c>
    </row>
    <row r="221" spans="1:35" ht="18.75" customHeight="1" x14ac:dyDescent="0.2">
      <c r="A221" s="139"/>
      <c r="B221" s="123"/>
      <c r="C221" s="237"/>
      <c r="D221" s="142"/>
      <c r="E221" s="128"/>
      <c r="F221" s="142"/>
      <c r="G221" s="128"/>
      <c r="H221" s="540" t="s">
        <v>447</v>
      </c>
      <c r="I221" s="349" t="s">
        <v>383</v>
      </c>
      <c r="J221" s="350" t="s">
        <v>250</v>
      </c>
      <c r="K221" s="350"/>
      <c r="L221" s="353" t="s">
        <v>383</v>
      </c>
      <c r="M221" s="350" t="s">
        <v>251</v>
      </c>
      <c r="N221" s="350"/>
      <c r="O221" s="353" t="s">
        <v>383</v>
      </c>
      <c r="P221" s="350" t="s">
        <v>252</v>
      </c>
      <c r="Q221" s="351"/>
      <c r="R221" s="351"/>
      <c r="S221" s="351"/>
      <c r="T221" s="351"/>
      <c r="U221" s="351"/>
      <c r="V221" s="351"/>
      <c r="W221" s="351"/>
      <c r="X221" s="365"/>
      <c r="Y221" s="154"/>
      <c r="Z221" s="147"/>
      <c r="AA221" s="147"/>
      <c r="AB221" s="148"/>
      <c r="AC221" s="154"/>
      <c r="AD221" s="147"/>
      <c r="AE221" s="147"/>
      <c r="AF221" s="148"/>
      <c r="AI221" s="109" t="str">
        <f>"54:field228:" &amp; IF(I221="■",1,IF(L221="■",2,IF(O221="■",3,0)))</f>
        <v>54:field228:0</v>
      </c>
    </row>
    <row r="222" spans="1:35" ht="18.75" customHeight="1" x14ac:dyDescent="0.2">
      <c r="A222" s="139"/>
      <c r="B222" s="123"/>
      <c r="C222" s="237"/>
      <c r="D222" s="142"/>
      <c r="E222" s="128"/>
      <c r="F222" s="142"/>
      <c r="G222" s="128"/>
      <c r="H222" s="540" t="s">
        <v>190</v>
      </c>
      <c r="I222" s="349" t="s">
        <v>383</v>
      </c>
      <c r="J222" s="350" t="s">
        <v>250</v>
      </c>
      <c r="K222" s="351"/>
      <c r="L222" s="353" t="s">
        <v>383</v>
      </c>
      <c r="M222" s="350" t="s">
        <v>267</v>
      </c>
      <c r="N222" s="531"/>
      <c r="O222" s="531"/>
      <c r="P222" s="531"/>
      <c r="Q222" s="531"/>
      <c r="R222" s="531"/>
      <c r="S222" s="531"/>
      <c r="T222" s="531"/>
      <c r="U222" s="531"/>
      <c r="V222" s="531"/>
      <c r="W222" s="531"/>
      <c r="X222" s="440"/>
      <c r="Y222" s="154"/>
      <c r="Z222" s="147"/>
      <c r="AA222" s="147"/>
      <c r="AB222" s="148"/>
      <c r="AC222" s="154"/>
      <c r="AD222" s="147"/>
      <c r="AE222" s="147"/>
      <c r="AF222" s="148"/>
      <c r="AI222" s="109" t="str">
        <f>"54:field177:" &amp; IF(I222="■",1,IF(L222="■",2,0))</f>
        <v>54:field177:0</v>
      </c>
    </row>
    <row r="223" spans="1:35" ht="18.75" customHeight="1" x14ac:dyDescent="0.2">
      <c r="A223" s="139"/>
      <c r="B223" s="123"/>
      <c r="C223" s="237"/>
      <c r="D223" s="142"/>
      <c r="E223" s="128"/>
      <c r="F223" s="142"/>
      <c r="G223" s="128"/>
      <c r="H223" s="439" t="s">
        <v>198</v>
      </c>
      <c r="I223" s="349" t="s">
        <v>383</v>
      </c>
      <c r="J223" s="350" t="s">
        <v>250</v>
      </c>
      <c r="K223" s="351"/>
      <c r="L223" s="353" t="s">
        <v>383</v>
      </c>
      <c r="M223" s="350" t="s">
        <v>267</v>
      </c>
      <c r="N223" s="531"/>
      <c r="O223" s="531"/>
      <c r="P223" s="531"/>
      <c r="Q223" s="531"/>
      <c r="R223" s="531"/>
      <c r="S223" s="531"/>
      <c r="T223" s="531"/>
      <c r="U223" s="531"/>
      <c r="V223" s="531"/>
      <c r="W223" s="531"/>
      <c r="X223" s="440"/>
      <c r="Y223" s="154"/>
      <c r="Z223" s="147"/>
      <c r="AA223" s="147"/>
      <c r="AB223" s="148"/>
      <c r="AC223" s="154"/>
      <c r="AD223" s="147"/>
      <c r="AE223" s="147"/>
      <c r="AF223" s="148"/>
      <c r="AI223" s="109" t="str">
        <f>"54:field210:" &amp; IF(I223="■",1,IF(L223="■",2,0))</f>
        <v>54:field210:0</v>
      </c>
    </row>
    <row r="224" spans="1:35" ht="18.75" customHeight="1" x14ac:dyDescent="0.2">
      <c r="A224" s="139"/>
      <c r="B224" s="123"/>
      <c r="C224" s="237"/>
      <c r="D224" s="142"/>
      <c r="E224" s="128"/>
      <c r="F224" s="142"/>
      <c r="G224" s="128"/>
      <c r="H224" s="540" t="s">
        <v>225</v>
      </c>
      <c r="I224" s="349" t="s">
        <v>383</v>
      </c>
      <c r="J224" s="350" t="s">
        <v>250</v>
      </c>
      <c r="K224" s="351"/>
      <c r="L224" s="353" t="s">
        <v>383</v>
      </c>
      <c r="M224" s="350" t="s">
        <v>267</v>
      </c>
      <c r="N224" s="531"/>
      <c r="O224" s="531"/>
      <c r="P224" s="531"/>
      <c r="Q224" s="531"/>
      <c r="R224" s="531"/>
      <c r="S224" s="531"/>
      <c r="T224" s="531"/>
      <c r="U224" s="531"/>
      <c r="V224" s="531"/>
      <c r="W224" s="531"/>
      <c r="X224" s="440"/>
      <c r="Y224" s="154"/>
      <c r="Z224" s="147"/>
      <c r="AA224" s="147"/>
      <c r="AB224" s="148"/>
      <c r="AC224" s="154"/>
      <c r="AD224" s="147"/>
      <c r="AE224" s="147"/>
      <c r="AF224" s="148"/>
      <c r="AI224" s="109" t="str">
        <f>"54:field211:" &amp; IF(I224="■",1,IF(L224="■",2,0))</f>
        <v>54:field211:0</v>
      </c>
    </row>
    <row r="225" spans="1:37" ht="18.75" customHeight="1" x14ac:dyDescent="0.2">
      <c r="A225" s="139"/>
      <c r="B225" s="123"/>
      <c r="C225" s="237"/>
      <c r="D225" s="142"/>
      <c r="E225" s="128"/>
      <c r="F225" s="142"/>
      <c r="G225" s="128"/>
      <c r="H225" s="540" t="s">
        <v>197</v>
      </c>
      <c r="I225" s="349" t="s">
        <v>383</v>
      </c>
      <c r="J225" s="350" t="s">
        <v>250</v>
      </c>
      <c r="K225" s="351"/>
      <c r="L225" s="353" t="s">
        <v>383</v>
      </c>
      <c r="M225" s="350" t="s">
        <v>267</v>
      </c>
      <c r="N225" s="531"/>
      <c r="O225" s="531"/>
      <c r="P225" s="531"/>
      <c r="Q225" s="531"/>
      <c r="R225" s="531"/>
      <c r="S225" s="531"/>
      <c r="T225" s="531"/>
      <c r="U225" s="531"/>
      <c r="V225" s="531"/>
      <c r="W225" s="531"/>
      <c r="X225" s="440"/>
      <c r="Y225" s="154"/>
      <c r="Z225" s="147"/>
      <c r="AA225" s="147"/>
      <c r="AB225" s="148"/>
      <c r="AC225" s="154"/>
      <c r="AD225" s="147"/>
      <c r="AE225" s="147"/>
      <c r="AF225" s="148"/>
      <c r="AI225" s="109" t="str">
        <f>"54:field212:" &amp; IF(I225="■",1,IF(L225="■",2,0))</f>
        <v>54:field212:0</v>
      </c>
    </row>
    <row r="226" spans="1:37" ht="18.75" customHeight="1" x14ac:dyDescent="0.2">
      <c r="A226" s="139"/>
      <c r="B226" s="123"/>
      <c r="C226" s="237"/>
      <c r="D226" s="142"/>
      <c r="E226" s="128"/>
      <c r="F226" s="142"/>
      <c r="G226" s="128"/>
      <c r="H226" s="540" t="s">
        <v>206</v>
      </c>
      <c r="I226" s="349" t="s">
        <v>383</v>
      </c>
      <c r="J226" s="350" t="s">
        <v>250</v>
      </c>
      <c r="K226" s="351"/>
      <c r="L226" s="353" t="s">
        <v>383</v>
      </c>
      <c r="M226" s="350" t="s">
        <v>267</v>
      </c>
      <c r="N226" s="531"/>
      <c r="O226" s="531"/>
      <c r="P226" s="531"/>
      <c r="Q226" s="531"/>
      <c r="R226" s="531"/>
      <c r="S226" s="531"/>
      <c r="T226" s="531"/>
      <c r="U226" s="531"/>
      <c r="V226" s="531"/>
      <c r="W226" s="531"/>
      <c r="X226" s="440"/>
      <c r="Y226" s="154"/>
      <c r="Z226" s="147"/>
      <c r="AA226" s="147"/>
      <c r="AB226" s="148"/>
      <c r="AC226" s="154"/>
      <c r="AD226" s="147"/>
      <c r="AE226" s="147"/>
      <c r="AF226" s="148"/>
      <c r="AI226" s="109" t="str">
        <f>"54:field209:" &amp; IF(I226="■",1,IF(L226="■",2,0))</f>
        <v>54:field209:0</v>
      </c>
    </row>
    <row r="227" spans="1:37" ht="18.75" customHeight="1" x14ac:dyDescent="0.2">
      <c r="A227" s="139"/>
      <c r="B227" s="123"/>
      <c r="C227" s="237"/>
      <c r="D227" s="142"/>
      <c r="E227" s="128"/>
      <c r="F227" s="142"/>
      <c r="G227" s="128"/>
      <c r="H227" s="540" t="s">
        <v>461</v>
      </c>
      <c r="I227" s="349" t="s">
        <v>383</v>
      </c>
      <c r="J227" s="350" t="s">
        <v>250</v>
      </c>
      <c r="K227" s="350"/>
      <c r="L227" s="353" t="s">
        <v>383</v>
      </c>
      <c r="M227" s="381" t="s">
        <v>267</v>
      </c>
      <c r="N227" s="350"/>
      <c r="O227" s="350"/>
      <c r="P227" s="350"/>
      <c r="Q227" s="351"/>
      <c r="R227" s="351"/>
      <c r="S227" s="351"/>
      <c r="T227" s="351"/>
      <c r="U227" s="351"/>
      <c r="V227" s="351"/>
      <c r="W227" s="351"/>
      <c r="X227" s="365"/>
      <c r="Y227" s="154"/>
      <c r="Z227" s="147"/>
      <c r="AA227" s="147"/>
      <c r="AB227" s="148"/>
      <c r="AC227" s="154"/>
      <c r="AD227" s="147"/>
      <c r="AE227" s="147"/>
      <c r="AF227" s="148"/>
      <c r="AI227" s="109" t="str">
        <f>"54:field226:" &amp; IF(I227="■",1,IF(L227="■",2,0))</f>
        <v>54:field226:0</v>
      </c>
    </row>
    <row r="228" spans="1:37" ht="18.75" customHeight="1" x14ac:dyDescent="0.2">
      <c r="A228" s="139"/>
      <c r="B228" s="123"/>
      <c r="C228" s="237"/>
      <c r="D228" s="142"/>
      <c r="E228" s="128"/>
      <c r="F228" s="142"/>
      <c r="G228" s="128"/>
      <c r="H228" s="540" t="s">
        <v>462</v>
      </c>
      <c r="I228" s="349" t="s">
        <v>383</v>
      </c>
      <c r="J228" s="350" t="s">
        <v>250</v>
      </c>
      <c r="K228" s="350"/>
      <c r="L228" s="353" t="s">
        <v>383</v>
      </c>
      <c r="M228" s="381" t="s">
        <v>267</v>
      </c>
      <c r="N228" s="350"/>
      <c r="O228" s="350"/>
      <c r="P228" s="350"/>
      <c r="Q228" s="351"/>
      <c r="R228" s="351"/>
      <c r="S228" s="351"/>
      <c r="T228" s="351"/>
      <c r="U228" s="351"/>
      <c r="V228" s="351"/>
      <c r="W228" s="351"/>
      <c r="X228" s="365"/>
      <c r="Y228" s="154"/>
      <c r="Z228" s="147"/>
      <c r="AA228" s="147"/>
      <c r="AB228" s="148"/>
      <c r="AC228" s="154"/>
      <c r="AD228" s="147"/>
      <c r="AE228" s="147"/>
      <c r="AF228" s="148"/>
      <c r="AI228" s="109" t="str">
        <f>"54:field227:" &amp; IF(I228="■",1,IF(L228="■",2,0))</f>
        <v>54:field227:0</v>
      </c>
    </row>
    <row r="229" spans="1:37" ht="18.75" customHeight="1" x14ac:dyDescent="0.2">
      <c r="A229" s="139"/>
      <c r="B229" s="123"/>
      <c r="C229" s="237"/>
      <c r="D229" s="142"/>
      <c r="E229" s="128"/>
      <c r="F229" s="142"/>
      <c r="G229" s="270"/>
      <c r="H229" s="435" t="s">
        <v>442</v>
      </c>
      <c r="I229" s="349" t="s">
        <v>383</v>
      </c>
      <c r="J229" s="350" t="s">
        <v>250</v>
      </c>
      <c r="K229" s="350"/>
      <c r="L229" s="353" t="s">
        <v>383</v>
      </c>
      <c r="M229" s="350" t="s">
        <v>251</v>
      </c>
      <c r="N229" s="350"/>
      <c r="O229" s="353" t="s">
        <v>383</v>
      </c>
      <c r="P229" s="350" t="s">
        <v>252</v>
      </c>
      <c r="Q229" s="355"/>
      <c r="R229" s="355"/>
      <c r="S229" s="355"/>
      <c r="T229" s="355"/>
      <c r="U229" s="410"/>
      <c r="V229" s="410"/>
      <c r="W229" s="410"/>
      <c r="X229" s="411"/>
      <c r="Y229" s="154"/>
      <c r="Z229" s="147"/>
      <c r="AA229" s="147"/>
      <c r="AB229" s="148"/>
      <c r="AC229" s="154"/>
      <c r="AD229" s="147"/>
      <c r="AE229" s="147"/>
      <c r="AF229" s="148"/>
      <c r="AI229" s="109" t="str">
        <f>"54:field225:" &amp; IF(I229="■",1,IF(L229="■",2,IF(O229="■",3,0)))</f>
        <v>54:field225:0</v>
      </c>
    </row>
    <row r="230" spans="1:37" ht="18.75" customHeight="1" x14ac:dyDescent="0.2">
      <c r="A230" s="139"/>
      <c r="B230" s="123"/>
      <c r="C230" s="237"/>
      <c r="D230" s="142"/>
      <c r="E230" s="128"/>
      <c r="F230" s="142"/>
      <c r="G230" s="128"/>
      <c r="H230" s="508" t="s">
        <v>118</v>
      </c>
      <c r="I230" s="349" t="s">
        <v>383</v>
      </c>
      <c r="J230" s="350" t="s">
        <v>250</v>
      </c>
      <c r="K230" s="350"/>
      <c r="L230" s="353" t="s">
        <v>383</v>
      </c>
      <c r="M230" s="350" t="s">
        <v>258</v>
      </c>
      <c r="N230" s="350"/>
      <c r="O230" s="353" t="s">
        <v>383</v>
      </c>
      <c r="P230" s="350" t="s">
        <v>259</v>
      </c>
      <c r="Q230" s="531"/>
      <c r="R230" s="353" t="s">
        <v>383</v>
      </c>
      <c r="S230" s="350" t="s">
        <v>283</v>
      </c>
      <c r="T230" s="531"/>
      <c r="U230" s="531"/>
      <c r="V230" s="531"/>
      <c r="W230" s="531"/>
      <c r="X230" s="440"/>
      <c r="Y230" s="154"/>
      <c r="Z230" s="147"/>
      <c r="AA230" s="147"/>
      <c r="AB230" s="148"/>
      <c r="AC230" s="154"/>
      <c r="AD230" s="147"/>
      <c r="AE230" s="147"/>
      <c r="AF230" s="148"/>
      <c r="AI230" s="109" t="str">
        <f>"54:serteikyo_kyoka_code:" &amp; IF(I230="■",1,IF(L230="■",6,IF(O230="■",5,IF(R230="■",7,0))))</f>
        <v>54:serteikyo_kyoka_code:0</v>
      </c>
    </row>
    <row r="231" spans="1:37" s="621" customFormat="1" ht="20.399999999999999" customHeight="1" x14ac:dyDescent="0.2">
      <c r="A231" s="139"/>
      <c r="B231" s="670"/>
      <c r="C231" s="140"/>
      <c r="D231" s="141"/>
      <c r="E231" s="128"/>
      <c r="F231" s="142"/>
      <c r="G231" s="143"/>
      <c r="H231" s="713" t="s">
        <v>790</v>
      </c>
      <c r="I231" s="642" t="s">
        <v>383</v>
      </c>
      <c r="J231" s="616" t="s">
        <v>627</v>
      </c>
      <c r="K231" s="616"/>
      <c r="L231" s="615"/>
      <c r="M231" s="644" t="s">
        <v>383</v>
      </c>
      <c r="N231" s="616" t="s">
        <v>791</v>
      </c>
      <c r="O231" s="617"/>
      <c r="P231" s="615"/>
      <c r="Q231" s="644" t="s">
        <v>383</v>
      </c>
      <c r="R231" s="618" t="s">
        <v>792</v>
      </c>
      <c r="S231" s="615"/>
      <c r="T231" s="615"/>
      <c r="U231" s="615"/>
      <c r="V231" s="618"/>
      <c r="W231" s="619"/>
      <c r="X231" s="620"/>
      <c r="Y231" s="154"/>
      <c r="Z231" s="147"/>
      <c r="AA231" s="147"/>
      <c r="AB231" s="148"/>
      <c r="AC231" s="154"/>
      <c r="AD231" s="147"/>
      <c r="AE231" s="147"/>
      <c r="AF231" s="148"/>
    </row>
    <row r="232" spans="1:37" s="621" customFormat="1" ht="18.75" customHeight="1" x14ac:dyDescent="0.2">
      <c r="A232" s="183"/>
      <c r="B232" s="658"/>
      <c r="C232" s="185"/>
      <c r="D232" s="186"/>
      <c r="E232" s="187"/>
      <c r="F232" s="188"/>
      <c r="G232" s="189"/>
      <c r="H232" s="714"/>
      <c r="I232" s="643" t="s">
        <v>383</v>
      </c>
      <c r="J232" s="623" t="s">
        <v>793</v>
      </c>
      <c r="K232" s="623"/>
      <c r="L232" s="622"/>
      <c r="M232" s="211" t="s">
        <v>383</v>
      </c>
      <c r="N232" s="623" t="s">
        <v>794</v>
      </c>
      <c r="O232" s="624"/>
      <c r="P232" s="622"/>
      <c r="Q232" s="211" t="s">
        <v>383</v>
      </c>
      <c r="R232" s="623" t="s">
        <v>795</v>
      </c>
      <c r="S232" s="622"/>
      <c r="T232" s="623"/>
      <c r="U232" s="211" t="s">
        <v>383</v>
      </c>
      <c r="V232" s="623" t="s">
        <v>796</v>
      </c>
      <c r="W232" s="625"/>
      <c r="X232" s="626"/>
      <c r="Y232" s="194"/>
      <c r="Z232" s="147"/>
      <c r="AA232" s="147"/>
      <c r="AB232" s="148"/>
      <c r="AC232" s="194"/>
      <c r="AD232" s="147"/>
      <c r="AE232" s="147"/>
      <c r="AF232" s="148"/>
    </row>
    <row r="233" spans="1:37" ht="18.75" customHeight="1" x14ac:dyDescent="0.2">
      <c r="A233" s="129"/>
      <c r="B233" s="116"/>
      <c r="C233" s="233"/>
      <c r="D233" s="132"/>
      <c r="E233" s="121"/>
      <c r="F233" s="132"/>
      <c r="G233" s="136"/>
      <c r="H233" s="559" t="s">
        <v>546</v>
      </c>
      <c r="I233" s="367" t="s">
        <v>383</v>
      </c>
      <c r="J233" s="368" t="s">
        <v>250</v>
      </c>
      <c r="K233" s="368"/>
      <c r="L233" s="370"/>
      <c r="M233" s="371" t="s">
        <v>383</v>
      </c>
      <c r="N233" s="368" t="s">
        <v>281</v>
      </c>
      <c r="O233" s="368"/>
      <c r="P233" s="370"/>
      <c r="Q233" s="371" t="s">
        <v>383</v>
      </c>
      <c r="R233" s="457" t="s">
        <v>282</v>
      </c>
      <c r="S233" s="457"/>
      <c r="T233" s="457"/>
      <c r="U233" s="457"/>
      <c r="V233" s="457"/>
      <c r="W233" s="457"/>
      <c r="X233" s="560"/>
      <c r="Y233" s="138" t="s">
        <v>383</v>
      </c>
      <c r="Z233" s="119" t="s">
        <v>249</v>
      </c>
      <c r="AA233" s="119"/>
      <c r="AB233" s="137"/>
      <c r="AC233" s="138" t="s">
        <v>383</v>
      </c>
      <c r="AD233" s="119" t="s">
        <v>249</v>
      </c>
      <c r="AE233" s="119"/>
      <c r="AF233" s="137"/>
      <c r="AG233" s="109" t="str">
        <f>"ser_code = '" &amp; IF(A246="■",77,"") &amp; "'"</f>
        <v>ser_code = ''</v>
      </c>
      <c r="AH233" s="109"/>
      <c r="AI233" s="109" t="str">
        <f>"77:"&amp;IF(AND(I233="□",M233="□",Q233="□"),"ketu_kangos_code:0",IF(I233="■","ketu_kangos_code:1:ketu_kshoku_code:1",IF(M233="■","ketu_kangos_code:2","ketu_kangos_code:1")&amp;IF(Q233="■",":ketu_kshoku_code:2",":ketu_kshoku_code:1")))</f>
        <v>77:ketu_kangos_code:0</v>
      </c>
      <c r="AJ233" s="109" t="str">
        <f>"77:field203:" &amp; IF(Y233="■",1,IF(Y234="■",2,0))</f>
        <v>77:field203:0</v>
      </c>
      <c r="AK233" s="109" t="str">
        <f>"77:waribiki_code:" &amp; IF(AC233="■",1,IF(AC234="■",2,0))</f>
        <v>77:waribiki_code:0</v>
      </c>
    </row>
    <row r="234" spans="1:37" ht="18.75" customHeight="1" x14ac:dyDescent="0.2">
      <c r="A234" s="139"/>
      <c r="B234" s="123"/>
      <c r="C234" s="237"/>
      <c r="D234" s="142"/>
      <c r="E234" s="128"/>
      <c r="F234" s="260"/>
      <c r="G234" s="270"/>
      <c r="H234" s="458" t="s">
        <v>185</v>
      </c>
      <c r="I234" s="349" t="s">
        <v>383</v>
      </c>
      <c r="J234" s="350" t="s">
        <v>395</v>
      </c>
      <c r="K234" s="351"/>
      <c r="L234" s="352"/>
      <c r="M234" s="353" t="s">
        <v>383</v>
      </c>
      <c r="N234" s="350" t="s">
        <v>396</v>
      </c>
      <c r="O234" s="355"/>
      <c r="P234" s="355"/>
      <c r="Q234" s="351"/>
      <c r="R234" s="351"/>
      <c r="S234" s="351"/>
      <c r="T234" s="351"/>
      <c r="U234" s="351"/>
      <c r="V234" s="351"/>
      <c r="W234" s="351"/>
      <c r="X234" s="365"/>
      <c r="Y234" s="125" t="s">
        <v>383</v>
      </c>
      <c r="Z234" s="126" t="s">
        <v>255</v>
      </c>
      <c r="AA234" s="147"/>
      <c r="AB234" s="148"/>
      <c r="AC234" s="125" t="s">
        <v>383</v>
      </c>
      <c r="AD234" s="126" t="s">
        <v>255</v>
      </c>
      <c r="AE234" s="147"/>
      <c r="AF234" s="148"/>
      <c r="AG234" s="109" t="str">
        <f>"77:sisetukbn_code:" &amp; IF(D245="■",1,IF(D246="■",2,0))</f>
        <v>77:sisetukbn_code:0</v>
      </c>
      <c r="AI234" s="109" t="str">
        <f>"77:sintaikousoku_code:" &amp; IF(I234="■",1,IF(M234="■",2,0))</f>
        <v>77:sintaikousoku_code:0</v>
      </c>
    </row>
    <row r="235" spans="1:37" ht="19.5" customHeight="1" x14ac:dyDescent="0.2">
      <c r="A235" s="139"/>
      <c r="B235" s="123"/>
      <c r="C235" s="140"/>
      <c r="D235" s="141"/>
      <c r="E235" s="128"/>
      <c r="F235" s="142"/>
      <c r="G235" s="143"/>
      <c r="H235" s="348" t="s">
        <v>430</v>
      </c>
      <c r="I235" s="349" t="s">
        <v>383</v>
      </c>
      <c r="J235" s="350" t="s">
        <v>395</v>
      </c>
      <c r="K235" s="351"/>
      <c r="L235" s="352"/>
      <c r="M235" s="353" t="s">
        <v>383</v>
      </c>
      <c r="N235" s="350" t="s">
        <v>431</v>
      </c>
      <c r="O235" s="354"/>
      <c r="P235" s="350"/>
      <c r="Q235" s="355"/>
      <c r="R235" s="355"/>
      <c r="S235" s="355"/>
      <c r="T235" s="355"/>
      <c r="U235" s="355"/>
      <c r="V235" s="355"/>
      <c r="W235" s="355"/>
      <c r="X235" s="356"/>
      <c r="Y235" s="154"/>
      <c r="Z235" s="126"/>
      <c r="AA235" s="147"/>
      <c r="AB235" s="148"/>
      <c r="AC235" s="154"/>
      <c r="AD235" s="126"/>
      <c r="AE235" s="147"/>
      <c r="AF235" s="148"/>
      <c r="AG235" s="109"/>
      <c r="AI235" s="109" t="str">
        <f>"77:field223:" &amp; IF(I235="■",1,IF(M235="■",2,0))</f>
        <v>77:field223:0</v>
      </c>
    </row>
    <row r="236" spans="1:37" ht="19.5" customHeight="1" x14ac:dyDescent="0.2">
      <c r="A236" s="139"/>
      <c r="B236" s="123"/>
      <c r="C236" s="140"/>
      <c r="D236" s="141"/>
      <c r="E236" s="128"/>
      <c r="F236" s="142"/>
      <c r="G236" s="143"/>
      <c r="H236" s="348" t="s">
        <v>448</v>
      </c>
      <c r="I236" s="349" t="s">
        <v>383</v>
      </c>
      <c r="J236" s="350" t="s">
        <v>395</v>
      </c>
      <c r="K236" s="351"/>
      <c r="L236" s="352"/>
      <c r="M236" s="353" t="s">
        <v>383</v>
      </c>
      <c r="N236" s="350" t="s">
        <v>431</v>
      </c>
      <c r="O236" s="354"/>
      <c r="P236" s="350"/>
      <c r="Q236" s="355"/>
      <c r="R236" s="355"/>
      <c r="S236" s="355"/>
      <c r="T236" s="355"/>
      <c r="U236" s="355"/>
      <c r="V236" s="355"/>
      <c r="W236" s="355"/>
      <c r="X236" s="356"/>
      <c r="Y236" s="154"/>
      <c r="Z236" s="126"/>
      <c r="AA236" s="147"/>
      <c r="AB236" s="148"/>
      <c r="AC236" s="154"/>
      <c r="AD236" s="126"/>
      <c r="AE236" s="147"/>
      <c r="AF236" s="148"/>
      <c r="AI236" s="109" t="str">
        <f>"77:field232:" &amp; IF(I236="■",1,IF(M236="■",2,0))</f>
        <v>77:field232:0</v>
      </c>
    </row>
    <row r="237" spans="1:37" ht="18.75" customHeight="1" x14ac:dyDescent="0.2">
      <c r="A237" s="139"/>
      <c r="B237" s="123"/>
      <c r="C237" s="237"/>
      <c r="D237" s="142"/>
      <c r="E237" s="128"/>
      <c r="F237" s="142"/>
      <c r="G237" s="270"/>
      <c r="H237" s="508" t="s">
        <v>591</v>
      </c>
      <c r="I237" s="349" t="s">
        <v>383</v>
      </c>
      <c r="J237" s="350" t="s">
        <v>250</v>
      </c>
      <c r="K237" s="351"/>
      <c r="L237" s="353" t="s">
        <v>383</v>
      </c>
      <c r="M237" s="350" t="s">
        <v>267</v>
      </c>
      <c r="N237" s="531"/>
      <c r="O237" s="531"/>
      <c r="P237" s="531"/>
      <c r="Q237" s="531"/>
      <c r="R237" s="531"/>
      <c r="S237" s="531"/>
      <c r="T237" s="531"/>
      <c r="U237" s="531"/>
      <c r="V237" s="531"/>
      <c r="W237" s="531"/>
      <c r="X237" s="440"/>
      <c r="Y237" s="154"/>
      <c r="Z237" s="147"/>
      <c r="AA237" s="147"/>
      <c r="AB237" s="148"/>
      <c r="AC237" s="154"/>
      <c r="AD237" s="147"/>
      <c r="AE237" s="147"/>
      <c r="AF237" s="148"/>
      <c r="AI237" s="109" t="str">
        <f>"77:field175:" &amp; IF(I237="■",1,IF(L237="■",2,0))</f>
        <v>77:field175:0</v>
      </c>
    </row>
    <row r="238" spans="1:37" ht="18.75" customHeight="1" x14ac:dyDescent="0.2">
      <c r="A238" s="139"/>
      <c r="B238" s="123"/>
      <c r="C238" s="237"/>
      <c r="D238" s="142"/>
      <c r="E238" s="128"/>
      <c r="F238" s="142"/>
      <c r="G238" s="270"/>
      <c r="H238" s="508" t="s">
        <v>592</v>
      </c>
      <c r="I238" s="349" t="s">
        <v>383</v>
      </c>
      <c r="J238" s="350" t="s">
        <v>300</v>
      </c>
      <c r="K238" s="351"/>
      <c r="L238" s="352"/>
      <c r="M238" s="353" t="s">
        <v>383</v>
      </c>
      <c r="N238" s="350" t="s">
        <v>332</v>
      </c>
      <c r="O238" s="355"/>
      <c r="P238" s="355"/>
      <c r="Q238" s="355"/>
      <c r="R238" s="355"/>
      <c r="S238" s="355"/>
      <c r="T238" s="355"/>
      <c r="U238" s="355"/>
      <c r="V238" s="355"/>
      <c r="W238" s="355"/>
      <c r="X238" s="356"/>
      <c r="Y238" s="154"/>
      <c r="Z238" s="147"/>
      <c r="AA238" s="147"/>
      <c r="AB238" s="148"/>
      <c r="AC238" s="154"/>
      <c r="AD238" s="147"/>
      <c r="AE238" s="147"/>
      <c r="AF238" s="148"/>
      <c r="AI238" s="109" t="str">
        <f>"77:field195:" &amp; IF(I238="■",1,IF(M238="■",2,0))</f>
        <v>77:field195:0</v>
      </c>
    </row>
    <row r="239" spans="1:37" ht="18.75" customHeight="1" x14ac:dyDescent="0.2">
      <c r="A239" s="139"/>
      <c r="B239" s="123"/>
      <c r="C239" s="237"/>
      <c r="D239" s="142"/>
      <c r="E239" s="128"/>
      <c r="F239" s="142"/>
      <c r="G239" s="270"/>
      <c r="H239" s="164" t="s">
        <v>192</v>
      </c>
      <c r="I239" s="156" t="s">
        <v>781</v>
      </c>
      <c r="J239" s="157" t="s">
        <v>250</v>
      </c>
      <c r="K239" s="158"/>
      <c r="L239" s="160" t="s">
        <v>383</v>
      </c>
      <c r="M239" s="157" t="s">
        <v>267</v>
      </c>
      <c r="N239" s="207"/>
      <c r="O239" s="207"/>
      <c r="P239" s="207"/>
      <c r="Q239" s="207"/>
      <c r="R239" s="207"/>
      <c r="S239" s="207"/>
      <c r="T239" s="207"/>
      <c r="U239" s="207"/>
      <c r="V239" s="207"/>
      <c r="W239" s="207"/>
      <c r="X239" s="208"/>
      <c r="Y239" s="154"/>
      <c r="Z239" s="147"/>
      <c r="AA239" s="147"/>
      <c r="AB239" s="148"/>
      <c r="AC239" s="154"/>
      <c r="AD239" s="147"/>
      <c r="AE239" s="147"/>
      <c r="AF239" s="148"/>
      <c r="AI239" s="109" t="str">
        <f>"77:tokutiiki_code:" &amp; IF(I239="■",1,IF(L239="■",2,0))</f>
        <v>77:tokutiiki_code:1</v>
      </c>
    </row>
    <row r="240" spans="1:37" ht="18.75" customHeight="1" x14ac:dyDescent="0.2">
      <c r="A240" s="139"/>
      <c r="B240" s="123"/>
      <c r="C240" s="237"/>
      <c r="D240" s="142"/>
      <c r="E240" s="128"/>
      <c r="F240" s="142"/>
      <c r="G240" s="270"/>
      <c r="H240" s="694" t="s">
        <v>478</v>
      </c>
      <c r="I240" s="707" t="s">
        <v>781</v>
      </c>
      <c r="J240" s="708" t="s">
        <v>256</v>
      </c>
      <c r="K240" s="708"/>
      <c r="L240" s="708"/>
      <c r="M240" s="707" t="s">
        <v>383</v>
      </c>
      <c r="N240" s="708" t="s">
        <v>257</v>
      </c>
      <c r="O240" s="708"/>
      <c r="P240" s="708"/>
      <c r="Q240" s="181"/>
      <c r="R240" s="181"/>
      <c r="S240" s="181"/>
      <c r="T240" s="181"/>
      <c r="U240" s="181"/>
      <c r="V240" s="181"/>
      <c r="W240" s="181"/>
      <c r="X240" s="182"/>
      <c r="Y240" s="154"/>
      <c r="Z240" s="147"/>
      <c r="AA240" s="147"/>
      <c r="AB240" s="148"/>
      <c r="AC240" s="154"/>
      <c r="AD240" s="147"/>
      <c r="AE240" s="147"/>
      <c r="AF240" s="148"/>
      <c r="AI240" s="109" t="str">
        <f>"77:chuusankanti_tiiki_code:" &amp; IF(I240="■",1,IF(M240="■",2,0))</f>
        <v>77:chuusankanti_tiiki_code:1</v>
      </c>
    </row>
    <row r="241" spans="1:35" ht="18.75" customHeight="1" x14ac:dyDescent="0.2">
      <c r="A241" s="139"/>
      <c r="B241" s="123"/>
      <c r="C241" s="237"/>
      <c r="D241" s="142"/>
      <c r="E241" s="128"/>
      <c r="F241" s="142"/>
      <c r="G241" s="270"/>
      <c r="H241" s="693"/>
      <c r="I241" s="696"/>
      <c r="J241" s="698"/>
      <c r="K241" s="698"/>
      <c r="L241" s="698"/>
      <c r="M241" s="696"/>
      <c r="N241" s="698"/>
      <c r="O241" s="698"/>
      <c r="P241" s="698"/>
      <c r="Q241" s="152"/>
      <c r="R241" s="152"/>
      <c r="S241" s="152"/>
      <c r="T241" s="152"/>
      <c r="U241" s="152"/>
      <c r="V241" s="152"/>
      <c r="W241" s="152"/>
      <c r="X241" s="153"/>
      <c r="Y241" s="154"/>
      <c r="Z241" s="147"/>
      <c r="AA241" s="147"/>
      <c r="AB241" s="148"/>
      <c r="AC241" s="154"/>
      <c r="AD241" s="147"/>
      <c r="AE241" s="147"/>
      <c r="AF241" s="148"/>
    </row>
    <row r="242" spans="1:35" ht="18.75" customHeight="1" x14ac:dyDescent="0.2">
      <c r="A242" s="139"/>
      <c r="B242" s="123"/>
      <c r="C242" s="237"/>
      <c r="D242" s="142"/>
      <c r="E242" s="128"/>
      <c r="F242" s="142"/>
      <c r="G242" s="270"/>
      <c r="H242" s="149" t="s">
        <v>129</v>
      </c>
      <c r="I242" s="175" t="s">
        <v>383</v>
      </c>
      <c r="J242" s="157" t="s">
        <v>250</v>
      </c>
      <c r="K242" s="157"/>
      <c r="L242" s="160" t="s">
        <v>383</v>
      </c>
      <c r="M242" s="157" t="s">
        <v>251</v>
      </c>
      <c r="N242" s="157"/>
      <c r="O242" s="206" t="s">
        <v>383</v>
      </c>
      <c r="P242" s="157" t="s">
        <v>252</v>
      </c>
      <c r="Q242" s="207"/>
      <c r="R242" s="157"/>
      <c r="S242" s="157"/>
      <c r="T242" s="207"/>
      <c r="U242" s="157"/>
      <c r="V242" s="157"/>
      <c r="W242" s="207"/>
      <c r="X242" s="153"/>
      <c r="Y242" s="154"/>
      <c r="Z242" s="147"/>
      <c r="AA242" s="147"/>
      <c r="AB242" s="148"/>
      <c r="AC242" s="154"/>
      <c r="AD242" s="147"/>
      <c r="AE242" s="147"/>
      <c r="AF242" s="148"/>
      <c r="AI242" s="109" t="str">
        <f>"77:field167:" &amp; IF(I242="■",1,IF(L242="■",2,IF(O242="■",3,0)))</f>
        <v>77:field167:0</v>
      </c>
    </row>
    <row r="243" spans="1:35" ht="18.75" customHeight="1" x14ac:dyDescent="0.2">
      <c r="A243" s="139"/>
      <c r="B243" s="123"/>
      <c r="C243" s="237"/>
      <c r="D243" s="142"/>
      <c r="E243" s="128"/>
      <c r="F243" s="142"/>
      <c r="G243" s="270"/>
      <c r="H243" s="245" t="s">
        <v>486</v>
      </c>
      <c r="I243" s="156" t="s">
        <v>383</v>
      </c>
      <c r="J243" s="157" t="s">
        <v>250</v>
      </c>
      <c r="K243" s="158"/>
      <c r="L243" s="160" t="s">
        <v>383</v>
      </c>
      <c r="M243" s="157" t="s">
        <v>267</v>
      </c>
      <c r="N243" s="207"/>
      <c r="O243" s="207"/>
      <c r="P243" s="207"/>
      <c r="Q243" s="207"/>
      <c r="R243" s="207"/>
      <c r="S243" s="207"/>
      <c r="T243" s="207"/>
      <c r="U243" s="207"/>
      <c r="V243" s="207"/>
      <c r="W243" s="207"/>
      <c r="X243" s="208"/>
      <c r="Y243" s="154"/>
      <c r="Z243" s="147"/>
      <c r="AA243" s="147"/>
      <c r="AB243" s="148"/>
      <c r="AC243" s="154"/>
      <c r="AD243" s="147"/>
      <c r="AE243" s="147"/>
      <c r="AF243" s="148"/>
      <c r="AI243" s="109" t="str">
        <f>"77:jyakuninti_uke_code:" &amp; IF(I243="■",1,IF(L243="■",2,0))</f>
        <v>77:jyakuninti_uke_code:0</v>
      </c>
    </row>
    <row r="244" spans="1:35" ht="18.75" customHeight="1" x14ac:dyDescent="0.2">
      <c r="A244" s="139"/>
      <c r="B244" s="123"/>
      <c r="C244" s="237"/>
      <c r="D244" s="142"/>
      <c r="E244" s="128"/>
      <c r="F244" s="142"/>
      <c r="G244" s="270"/>
      <c r="H244" s="126" t="s">
        <v>236</v>
      </c>
      <c r="I244" s="156" t="s">
        <v>383</v>
      </c>
      <c r="J244" s="157" t="s">
        <v>250</v>
      </c>
      <c r="K244" s="158"/>
      <c r="L244" s="160" t="s">
        <v>383</v>
      </c>
      <c r="M244" s="157" t="s">
        <v>267</v>
      </c>
      <c r="N244" s="207"/>
      <c r="O244" s="207"/>
      <c r="P244" s="207"/>
      <c r="Q244" s="207"/>
      <c r="R244" s="207"/>
      <c r="S244" s="207"/>
      <c r="T244" s="207"/>
      <c r="U244" s="207"/>
      <c r="V244" s="207"/>
      <c r="W244" s="207"/>
      <c r="X244" s="208"/>
      <c r="Y244" s="154"/>
      <c r="Z244" s="147"/>
      <c r="AA244" s="147"/>
      <c r="AB244" s="148"/>
      <c r="AC244" s="154"/>
      <c r="AD244" s="147"/>
      <c r="AE244" s="147"/>
      <c r="AF244" s="148"/>
      <c r="AI244" s="109" t="str">
        <f>"77:eiyomana_code:" &amp; IF(I244="■",1,IF(L244="■",2,0))</f>
        <v>77:eiyomana_code:0</v>
      </c>
    </row>
    <row r="245" spans="1:35" ht="18.75" customHeight="1" x14ac:dyDescent="0.2">
      <c r="A245" s="139"/>
      <c r="B245" s="123"/>
      <c r="C245" s="237" t="s">
        <v>593</v>
      </c>
      <c r="D245" s="125" t="s">
        <v>383</v>
      </c>
      <c r="E245" s="128" t="s">
        <v>594</v>
      </c>
      <c r="F245" s="142"/>
      <c r="G245" s="270"/>
      <c r="H245" s="164" t="s">
        <v>205</v>
      </c>
      <c r="I245" s="156" t="s">
        <v>383</v>
      </c>
      <c r="J245" s="157" t="s">
        <v>250</v>
      </c>
      <c r="K245" s="158"/>
      <c r="L245" s="160" t="s">
        <v>383</v>
      </c>
      <c r="M245" s="157" t="s">
        <v>267</v>
      </c>
      <c r="N245" s="207"/>
      <c r="O245" s="207"/>
      <c r="P245" s="207"/>
      <c r="Q245" s="207"/>
      <c r="R245" s="207"/>
      <c r="S245" s="207"/>
      <c r="T245" s="207"/>
      <c r="U245" s="207"/>
      <c r="V245" s="207"/>
      <c r="W245" s="207"/>
      <c r="X245" s="208"/>
      <c r="Y245" s="154"/>
      <c r="Z245" s="147"/>
      <c r="AA245" s="147"/>
      <c r="AB245" s="148"/>
      <c r="AC245" s="154"/>
      <c r="AD245" s="147"/>
      <c r="AE245" s="147"/>
      <c r="AF245" s="148"/>
      <c r="AI245" s="109" t="str">
        <f>"77:koukoukino_code:" &amp; IF(I245="■",1,IF(L245="■",2,0))</f>
        <v>77:koukoukino_code:0</v>
      </c>
    </row>
    <row r="246" spans="1:35" ht="18.75" customHeight="1" x14ac:dyDescent="0.2">
      <c r="A246" s="125" t="s">
        <v>383</v>
      </c>
      <c r="B246" s="123">
        <v>77</v>
      </c>
      <c r="C246" s="237" t="s">
        <v>595</v>
      </c>
      <c r="D246" s="125" t="s">
        <v>383</v>
      </c>
      <c r="E246" s="128" t="s">
        <v>596</v>
      </c>
      <c r="F246" s="142"/>
      <c r="G246" s="270"/>
      <c r="H246" s="245" t="s">
        <v>612</v>
      </c>
      <c r="I246" s="156" t="s">
        <v>383</v>
      </c>
      <c r="J246" s="157" t="s">
        <v>250</v>
      </c>
      <c r="K246" s="158"/>
      <c r="L246" s="160" t="s">
        <v>383</v>
      </c>
      <c r="M246" s="157" t="s">
        <v>267</v>
      </c>
      <c r="N246" s="207"/>
      <c r="O246" s="207"/>
      <c r="P246" s="207"/>
      <c r="Q246" s="207"/>
      <c r="R246" s="207"/>
      <c r="S246" s="207"/>
      <c r="T246" s="207"/>
      <c r="U246" s="207"/>
      <c r="V246" s="207"/>
      <c r="W246" s="207"/>
      <c r="X246" s="208"/>
      <c r="Y246" s="154"/>
      <c r="Z246" s="147"/>
      <c r="AA246" s="147"/>
      <c r="AB246" s="148"/>
      <c r="AC246" s="154"/>
      <c r="AD246" s="147"/>
      <c r="AE246" s="147"/>
      <c r="AF246" s="148"/>
      <c r="AI246" s="109" t="str">
        <f>"77:kinkyu_code:" &amp; IF(I246="■",1,IF(L246="■",2,0))</f>
        <v>77:kinkyu_code:0</v>
      </c>
    </row>
    <row r="247" spans="1:35" ht="18.75" customHeight="1" x14ac:dyDescent="0.2">
      <c r="A247" s="139"/>
      <c r="B247" s="123"/>
      <c r="C247" s="128" t="s">
        <v>597</v>
      </c>
      <c r="D247" s="142"/>
      <c r="E247" s="128" t="s">
        <v>551</v>
      </c>
      <c r="F247" s="142"/>
      <c r="G247" s="270"/>
      <c r="H247" s="245" t="s">
        <v>521</v>
      </c>
      <c r="I247" s="156" t="s">
        <v>383</v>
      </c>
      <c r="J247" s="157" t="s">
        <v>265</v>
      </c>
      <c r="K247" s="158"/>
      <c r="L247" s="159"/>
      <c r="M247" s="160" t="s">
        <v>383</v>
      </c>
      <c r="N247" s="157" t="s">
        <v>266</v>
      </c>
      <c r="O247" s="162"/>
      <c r="P247" s="162"/>
      <c r="Q247" s="162"/>
      <c r="R247" s="162"/>
      <c r="S247" s="162"/>
      <c r="T247" s="162"/>
      <c r="U247" s="162"/>
      <c r="V247" s="162"/>
      <c r="W247" s="162"/>
      <c r="X247" s="163"/>
      <c r="Y247" s="154"/>
      <c r="Z247" s="147"/>
      <c r="AA247" s="147"/>
      <c r="AB247" s="148"/>
      <c r="AC247" s="154"/>
      <c r="AD247" s="147"/>
      <c r="AE247" s="147"/>
      <c r="AF247" s="148"/>
      <c r="AI247" s="109" t="str">
        <f>"77:tokukanri_code:" &amp; IF(I247="■",1,IF(M247="■",2,0))</f>
        <v>77:tokukanri_code:0</v>
      </c>
    </row>
    <row r="248" spans="1:35" ht="18.75" customHeight="1" x14ac:dyDescent="0.2">
      <c r="A248" s="139"/>
      <c r="B248" s="123"/>
      <c r="C248" s="237"/>
      <c r="E248" s="128"/>
      <c r="F248" s="142"/>
      <c r="G248" s="143"/>
      <c r="H248" s="164" t="s">
        <v>436</v>
      </c>
      <c r="I248" s="175" t="s">
        <v>383</v>
      </c>
      <c r="J248" s="157" t="s">
        <v>250</v>
      </c>
      <c r="K248" s="158"/>
      <c r="L248" s="160" t="s">
        <v>383</v>
      </c>
      <c r="M248" s="157" t="s">
        <v>267</v>
      </c>
      <c r="N248" s="157"/>
      <c r="O248" s="207"/>
      <c r="P248" s="207"/>
      <c r="Q248" s="207"/>
      <c r="R248" s="207"/>
      <c r="S248" s="207"/>
      <c r="T248" s="207"/>
      <c r="U248" s="207"/>
      <c r="V248" s="207"/>
      <c r="W248" s="207"/>
      <c r="X248" s="208"/>
      <c r="Y248" s="154"/>
      <c r="Z248" s="147"/>
      <c r="AA248" s="147"/>
      <c r="AB248" s="148"/>
      <c r="AC248" s="154"/>
      <c r="AD248" s="147"/>
      <c r="AE248" s="147"/>
      <c r="AF248" s="148"/>
      <c r="AI248" s="109" t="str">
        <f>"77:field230:" &amp; IF(I248="■",1,IF(L248="■",2,0))</f>
        <v>77:field230:0</v>
      </c>
    </row>
    <row r="249" spans="1:35" ht="18.75" customHeight="1" x14ac:dyDescent="0.2">
      <c r="A249" s="141"/>
      <c r="B249" s="123"/>
      <c r="C249" s="237"/>
      <c r="E249" s="128"/>
      <c r="F249" s="142"/>
      <c r="G249" s="270"/>
      <c r="H249" s="245" t="s">
        <v>91</v>
      </c>
      <c r="I249" s="156" t="s">
        <v>383</v>
      </c>
      <c r="J249" s="157" t="s">
        <v>250</v>
      </c>
      <c r="K249" s="158"/>
      <c r="L249" s="160" t="s">
        <v>383</v>
      </c>
      <c r="M249" s="157" t="s">
        <v>267</v>
      </c>
      <c r="N249" s="207"/>
      <c r="O249" s="207"/>
      <c r="P249" s="207"/>
      <c r="Q249" s="207"/>
      <c r="R249" s="207"/>
      <c r="S249" s="207"/>
      <c r="T249" s="207"/>
      <c r="U249" s="207"/>
      <c r="V249" s="207"/>
      <c r="W249" s="207"/>
      <c r="X249" s="208"/>
      <c r="Y249" s="154"/>
      <c r="Z249" s="147"/>
      <c r="AA249" s="147"/>
      <c r="AB249" s="148"/>
      <c r="AC249" s="154"/>
      <c r="AD249" s="147"/>
      <c r="AE249" s="147"/>
      <c r="AF249" s="148"/>
      <c r="AI249" s="109" t="str">
        <f>"77:terminal_code:" &amp; IF(I249="■",1,IF(L249="■",2,0))</f>
        <v>77:terminal_code:0</v>
      </c>
    </row>
    <row r="250" spans="1:35" ht="18.75" customHeight="1" x14ac:dyDescent="0.2">
      <c r="A250" s="139"/>
      <c r="B250" s="123"/>
      <c r="C250" s="128"/>
      <c r="D250" s="142"/>
      <c r="E250" s="128"/>
      <c r="F250" s="142"/>
      <c r="G250" s="143"/>
      <c r="H250" s="164" t="s">
        <v>437</v>
      </c>
      <c r="I250" s="175" t="s">
        <v>383</v>
      </c>
      <c r="J250" s="157" t="s">
        <v>250</v>
      </c>
      <c r="K250" s="158"/>
      <c r="L250" s="160" t="s">
        <v>383</v>
      </c>
      <c r="M250" s="157" t="s">
        <v>267</v>
      </c>
      <c r="N250" s="157"/>
      <c r="O250" s="207"/>
      <c r="P250" s="207"/>
      <c r="Q250" s="207"/>
      <c r="R250" s="207"/>
      <c r="S250" s="207"/>
      <c r="T250" s="207"/>
      <c r="U250" s="207"/>
      <c r="V250" s="207"/>
      <c r="W250" s="207"/>
      <c r="X250" s="208"/>
      <c r="Y250" s="154"/>
      <c r="Z250" s="147"/>
      <c r="AA250" s="147"/>
      <c r="AB250" s="148"/>
      <c r="AC250" s="154"/>
      <c r="AD250" s="147"/>
      <c r="AE250" s="147"/>
      <c r="AF250" s="148"/>
      <c r="AI250" s="109" t="str">
        <f>"77:field231:" &amp; IF(I250="■",1,IF(L250="■",2,0))</f>
        <v>77:field231:0</v>
      </c>
    </row>
    <row r="251" spans="1:35" ht="18.75" customHeight="1" x14ac:dyDescent="0.2">
      <c r="A251" s="141"/>
      <c r="B251" s="178"/>
      <c r="C251" s="124"/>
      <c r="F251" s="142"/>
      <c r="G251" s="270"/>
      <c r="H251" s="245" t="s">
        <v>477</v>
      </c>
      <c r="I251" s="156" t="s">
        <v>383</v>
      </c>
      <c r="J251" s="157" t="s">
        <v>250</v>
      </c>
      <c r="K251" s="157"/>
      <c r="L251" s="160" t="s">
        <v>383</v>
      </c>
      <c r="M251" s="157" t="s">
        <v>268</v>
      </c>
      <c r="N251" s="157"/>
      <c r="O251" s="160" t="s">
        <v>383</v>
      </c>
      <c r="P251" s="157" t="s">
        <v>269</v>
      </c>
      <c r="Q251" s="207"/>
      <c r="R251" s="207"/>
      <c r="S251" s="207"/>
      <c r="T251" s="207"/>
      <c r="U251" s="207"/>
      <c r="V251" s="207"/>
      <c r="W251" s="207"/>
      <c r="X251" s="208"/>
      <c r="Y251" s="154"/>
      <c r="Z251" s="147"/>
      <c r="AA251" s="147"/>
      <c r="AB251" s="148"/>
      <c r="AC251" s="154"/>
      <c r="AD251" s="147"/>
      <c r="AE251" s="147"/>
      <c r="AF251" s="148"/>
      <c r="AI251" s="109" t="str">
        <f>"77:field169:" &amp; IF(I251="■",1,IF(L251="■",3,IF(O251="■",2,0)))</f>
        <v>77:field169:0</v>
      </c>
    </row>
    <row r="252" spans="1:35" ht="18.75" customHeight="1" x14ac:dyDescent="0.2">
      <c r="A252" s="141"/>
      <c r="B252" s="178"/>
      <c r="C252" s="124"/>
      <c r="F252" s="142"/>
      <c r="G252" s="270"/>
      <c r="H252" s="245" t="s">
        <v>554</v>
      </c>
      <c r="I252" s="156" t="s">
        <v>383</v>
      </c>
      <c r="J252" s="157" t="s">
        <v>250</v>
      </c>
      <c r="K252" s="158"/>
      <c r="L252" s="160" t="s">
        <v>383</v>
      </c>
      <c r="M252" s="157" t="s">
        <v>267</v>
      </c>
      <c r="N252" s="207"/>
      <c r="O252" s="207"/>
      <c r="P252" s="207"/>
      <c r="Q252" s="207"/>
      <c r="R252" s="207"/>
      <c r="S252" s="207"/>
      <c r="T252" s="207"/>
      <c r="U252" s="207"/>
      <c r="V252" s="207"/>
      <c r="W252" s="207"/>
      <c r="X252" s="208"/>
      <c r="Y252" s="154"/>
      <c r="Z252" s="147"/>
      <c r="AA252" s="147"/>
      <c r="AB252" s="148"/>
      <c r="AC252" s="154"/>
      <c r="AD252" s="147"/>
      <c r="AE252" s="147"/>
      <c r="AF252" s="148"/>
      <c r="AI252" s="109" t="str">
        <f>"77:field172:" &amp; IF(I252="■",1,IF(L252="■",2,0))</f>
        <v>77:field172:0</v>
      </c>
    </row>
    <row r="253" spans="1:35" ht="18.75" customHeight="1" x14ac:dyDescent="0.2">
      <c r="A253" s="141"/>
      <c r="B253" s="178"/>
      <c r="C253" s="124"/>
      <c r="F253" s="142"/>
      <c r="G253" s="270"/>
      <c r="H253" s="245" t="s">
        <v>522</v>
      </c>
      <c r="I253" s="156" t="s">
        <v>383</v>
      </c>
      <c r="J253" s="157" t="s">
        <v>250</v>
      </c>
      <c r="K253" s="158"/>
      <c r="L253" s="160" t="s">
        <v>383</v>
      </c>
      <c r="M253" s="157" t="s">
        <v>268</v>
      </c>
      <c r="N253" s="157"/>
      <c r="O253" s="206" t="s">
        <v>383</v>
      </c>
      <c r="P253" s="168" t="s">
        <v>269</v>
      </c>
      <c r="Q253" s="157"/>
      <c r="R253" s="157"/>
      <c r="S253" s="158"/>
      <c r="T253" s="157"/>
      <c r="U253" s="158"/>
      <c r="V253" s="158"/>
      <c r="W253" s="158"/>
      <c r="X253" s="166"/>
      <c r="Y253" s="154"/>
      <c r="Z253" s="147"/>
      <c r="AA253" s="147"/>
      <c r="AB253" s="148"/>
      <c r="AC253" s="154"/>
      <c r="AD253" s="147"/>
      <c r="AE253" s="147"/>
      <c r="AF253" s="148"/>
      <c r="AI253" s="109" t="str">
        <f>"77:field168:" &amp; IF(I253="■",1,IF(L253="■",3,IF(O253="■",2,0)))</f>
        <v>77:field168:0</v>
      </c>
    </row>
    <row r="254" spans="1:35" ht="18.75" customHeight="1" x14ac:dyDescent="0.2">
      <c r="A254" s="139"/>
      <c r="B254" s="123"/>
      <c r="C254" s="237"/>
      <c r="D254" s="220"/>
      <c r="E254" s="128"/>
      <c r="F254" s="142"/>
      <c r="G254" s="270"/>
      <c r="H254" s="242" t="s">
        <v>190</v>
      </c>
      <c r="I254" s="156" t="s">
        <v>383</v>
      </c>
      <c r="J254" s="157" t="s">
        <v>250</v>
      </c>
      <c r="K254" s="158"/>
      <c r="L254" s="160" t="s">
        <v>383</v>
      </c>
      <c r="M254" s="157" t="s">
        <v>267</v>
      </c>
      <c r="N254" s="207"/>
      <c r="O254" s="207"/>
      <c r="P254" s="207"/>
      <c r="Q254" s="207"/>
      <c r="R254" s="207"/>
      <c r="S254" s="207"/>
      <c r="T254" s="207"/>
      <c r="U254" s="207"/>
      <c r="V254" s="207"/>
      <c r="W254" s="207"/>
      <c r="X254" s="208"/>
      <c r="Y254" s="154"/>
      <c r="Z254" s="147"/>
      <c r="AA254" s="147"/>
      <c r="AB254" s="148"/>
      <c r="AC254" s="154"/>
      <c r="AD254" s="147"/>
      <c r="AE254" s="147"/>
      <c r="AF254" s="148"/>
      <c r="AI254" s="109" t="str">
        <f>"77:field177:" &amp; IF(I254="■",1,IF(L254="■",2,0))</f>
        <v>77:field177:0</v>
      </c>
    </row>
    <row r="255" spans="1:35" ht="18.75" customHeight="1" x14ac:dyDescent="0.2">
      <c r="A255" s="139"/>
      <c r="B255" s="123"/>
      <c r="C255" s="237"/>
      <c r="D255" s="220"/>
      <c r="E255" s="128"/>
      <c r="F255" s="142"/>
      <c r="G255" s="270"/>
      <c r="H255" s="239" t="s">
        <v>198</v>
      </c>
      <c r="I255" s="156" t="s">
        <v>383</v>
      </c>
      <c r="J255" s="157" t="s">
        <v>250</v>
      </c>
      <c r="K255" s="158"/>
      <c r="L255" s="160" t="s">
        <v>383</v>
      </c>
      <c r="M255" s="157" t="s">
        <v>267</v>
      </c>
      <c r="N255" s="207"/>
      <c r="O255" s="207"/>
      <c r="P255" s="207"/>
      <c r="Q255" s="207"/>
      <c r="R255" s="207"/>
      <c r="S255" s="207"/>
      <c r="T255" s="207"/>
      <c r="U255" s="207"/>
      <c r="V255" s="207"/>
      <c r="W255" s="207"/>
      <c r="X255" s="208"/>
      <c r="Y255" s="154"/>
      <c r="Z255" s="147"/>
      <c r="AA255" s="147"/>
      <c r="AB255" s="148"/>
      <c r="AC255" s="154"/>
      <c r="AD255" s="147"/>
      <c r="AE255" s="147"/>
      <c r="AF255" s="148"/>
      <c r="AI255" s="109" t="str">
        <f>"77:field210:" &amp; IF(I255="■",1,IF(L255="■",2,0))</f>
        <v>77:field210:0</v>
      </c>
    </row>
    <row r="256" spans="1:35" ht="18.75" customHeight="1" x14ac:dyDescent="0.2">
      <c r="A256" s="139"/>
      <c r="B256" s="123"/>
      <c r="C256" s="237"/>
      <c r="D256" s="142"/>
      <c r="E256" s="128"/>
      <c r="F256" s="142"/>
      <c r="G256" s="270"/>
      <c r="H256" s="164" t="s">
        <v>197</v>
      </c>
      <c r="I256" s="156" t="s">
        <v>383</v>
      </c>
      <c r="J256" s="157" t="s">
        <v>250</v>
      </c>
      <c r="K256" s="158"/>
      <c r="L256" s="160" t="s">
        <v>383</v>
      </c>
      <c r="M256" s="157" t="s">
        <v>267</v>
      </c>
      <c r="N256" s="207"/>
      <c r="O256" s="207"/>
      <c r="P256" s="207"/>
      <c r="Q256" s="207"/>
      <c r="R256" s="207"/>
      <c r="S256" s="207"/>
      <c r="T256" s="207"/>
      <c r="U256" s="207"/>
      <c r="V256" s="207"/>
      <c r="W256" s="207"/>
      <c r="X256" s="208"/>
      <c r="Y256" s="154"/>
      <c r="Z256" s="147"/>
      <c r="AA256" s="147"/>
      <c r="AB256" s="148"/>
      <c r="AC256" s="154"/>
      <c r="AD256" s="147"/>
      <c r="AE256" s="147"/>
      <c r="AF256" s="148"/>
      <c r="AI256" s="109" t="str">
        <f>"77:field212:" &amp; IF(I256="■",1,IF(L256="■",2,0))</f>
        <v>77:field212:0</v>
      </c>
    </row>
    <row r="257" spans="1:37" ht="18.75" customHeight="1" x14ac:dyDescent="0.2">
      <c r="A257" s="139"/>
      <c r="B257" s="123"/>
      <c r="C257" s="237"/>
      <c r="D257" s="142"/>
      <c r="E257" s="128"/>
      <c r="F257" s="142"/>
      <c r="G257" s="270"/>
      <c r="H257" s="250" t="s">
        <v>442</v>
      </c>
      <c r="I257" s="156" t="s">
        <v>383</v>
      </c>
      <c r="J257" s="157" t="s">
        <v>250</v>
      </c>
      <c r="K257" s="157"/>
      <c r="L257" s="160" t="s">
        <v>383</v>
      </c>
      <c r="M257" s="157" t="s">
        <v>251</v>
      </c>
      <c r="N257" s="157"/>
      <c r="O257" s="160" t="s">
        <v>383</v>
      </c>
      <c r="P257" s="157" t="s">
        <v>252</v>
      </c>
      <c r="Q257" s="162"/>
      <c r="R257" s="162"/>
      <c r="S257" s="162"/>
      <c r="T257" s="162"/>
      <c r="U257" s="251"/>
      <c r="V257" s="251"/>
      <c r="W257" s="251"/>
      <c r="X257" s="252"/>
      <c r="Y257" s="154"/>
      <c r="Z257" s="147"/>
      <c r="AA257" s="147"/>
      <c r="AB257" s="148"/>
      <c r="AC257" s="154"/>
      <c r="AD257" s="147"/>
      <c r="AE257" s="147"/>
      <c r="AF257" s="148"/>
      <c r="AI257" s="109" t="str">
        <f>"77:field225:" &amp; IF(I257="■",1,IF(L257="■",2,IF(O257="■",3,0)))</f>
        <v>77:field225:0</v>
      </c>
    </row>
    <row r="258" spans="1:37" ht="18.75" customHeight="1" x14ac:dyDescent="0.2">
      <c r="A258" s="139"/>
      <c r="B258" s="123"/>
      <c r="C258" s="237"/>
      <c r="D258" s="142"/>
      <c r="E258" s="128"/>
      <c r="F258" s="142"/>
      <c r="G258" s="270"/>
      <c r="H258" s="245" t="s">
        <v>118</v>
      </c>
      <c r="I258" s="156" t="s">
        <v>383</v>
      </c>
      <c r="J258" s="157" t="s">
        <v>250</v>
      </c>
      <c r="K258" s="157"/>
      <c r="L258" s="160" t="s">
        <v>383</v>
      </c>
      <c r="M258" s="157" t="s">
        <v>258</v>
      </c>
      <c r="N258" s="157"/>
      <c r="O258" s="160" t="s">
        <v>383</v>
      </c>
      <c r="P258" s="157" t="s">
        <v>259</v>
      </c>
      <c r="Q258" s="207"/>
      <c r="R258" s="160" t="s">
        <v>383</v>
      </c>
      <c r="S258" s="157" t="s">
        <v>283</v>
      </c>
      <c r="T258" s="207"/>
      <c r="U258" s="207"/>
      <c r="V258" s="207"/>
      <c r="W258" s="207"/>
      <c r="X258" s="208"/>
      <c r="Y258" s="154"/>
      <c r="Z258" s="147"/>
      <c r="AA258" s="147"/>
      <c r="AB258" s="148"/>
      <c r="AC258" s="154"/>
      <c r="AD258" s="147"/>
      <c r="AE258" s="147"/>
      <c r="AF258" s="148"/>
      <c r="AI258" s="109" t="str">
        <f>"77:serteikyo_kyoka_code:" &amp; IF(I258="■",1,IF(L258="■",6,IF(O258="■",5,IF(R258="■",7,0))))</f>
        <v>77:serteikyo_kyoka_code:0</v>
      </c>
    </row>
    <row r="259" spans="1:37" s="621" customFormat="1" ht="20.399999999999999" customHeight="1" x14ac:dyDescent="0.2">
      <c r="A259" s="139"/>
      <c r="B259" s="670"/>
      <c r="C259" s="140"/>
      <c r="D259" s="141"/>
      <c r="E259" s="128"/>
      <c r="F259" s="142"/>
      <c r="G259" s="143"/>
      <c r="H259" s="713" t="s">
        <v>790</v>
      </c>
      <c r="I259" s="642" t="s">
        <v>383</v>
      </c>
      <c r="J259" s="616" t="s">
        <v>627</v>
      </c>
      <c r="K259" s="616"/>
      <c r="L259" s="615"/>
      <c r="M259" s="644" t="s">
        <v>383</v>
      </c>
      <c r="N259" s="616" t="s">
        <v>791</v>
      </c>
      <c r="O259" s="617"/>
      <c r="P259" s="615"/>
      <c r="Q259" s="644" t="s">
        <v>383</v>
      </c>
      <c r="R259" s="618" t="s">
        <v>792</v>
      </c>
      <c r="S259" s="615"/>
      <c r="T259" s="615"/>
      <c r="U259" s="615"/>
      <c r="V259" s="618"/>
      <c r="W259" s="619"/>
      <c r="X259" s="620"/>
      <c r="Y259" s="154"/>
      <c r="Z259" s="147"/>
      <c r="AA259" s="147"/>
      <c r="AB259" s="148"/>
      <c r="AC259" s="154"/>
      <c r="AD259" s="147"/>
      <c r="AE259" s="147"/>
      <c r="AF259" s="148"/>
    </row>
    <row r="260" spans="1:37" s="621" customFormat="1" ht="18.75" customHeight="1" x14ac:dyDescent="0.2">
      <c r="A260" s="183"/>
      <c r="B260" s="658"/>
      <c r="C260" s="185"/>
      <c r="D260" s="186"/>
      <c r="E260" s="187"/>
      <c r="F260" s="188"/>
      <c r="G260" s="189"/>
      <c r="H260" s="714"/>
      <c r="I260" s="643" t="s">
        <v>383</v>
      </c>
      <c r="J260" s="623" t="s">
        <v>793</v>
      </c>
      <c r="K260" s="623"/>
      <c r="L260" s="622"/>
      <c r="M260" s="211" t="s">
        <v>383</v>
      </c>
      <c r="N260" s="623" t="s">
        <v>794</v>
      </c>
      <c r="O260" s="624"/>
      <c r="P260" s="622"/>
      <c r="Q260" s="211" t="s">
        <v>383</v>
      </c>
      <c r="R260" s="623" t="s">
        <v>795</v>
      </c>
      <c r="S260" s="622"/>
      <c r="T260" s="623"/>
      <c r="U260" s="211" t="s">
        <v>383</v>
      </c>
      <c r="V260" s="623" t="s">
        <v>796</v>
      </c>
      <c r="W260" s="625"/>
      <c r="X260" s="626"/>
      <c r="Y260" s="194"/>
      <c r="Z260" s="147"/>
      <c r="AA260" s="147"/>
      <c r="AB260" s="148"/>
      <c r="AC260" s="194"/>
      <c r="AD260" s="147"/>
      <c r="AE260" s="147"/>
      <c r="AF260" s="148"/>
    </row>
    <row r="261" spans="1:37" ht="18.75" customHeight="1" x14ac:dyDescent="0.2">
      <c r="A261" s="129"/>
      <c r="B261" s="116"/>
      <c r="C261" s="233"/>
      <c r="D261" s="132"/>
      <c r="E261" s="121"/>
      <c r="F261" s="132"/>
      <c r="G261" s="136"/>
      <c r="H261" s="559" t="s">
        <v>93</v>
      </c>
      <c r="I261" s="367" t="s">
        <v>383</v>
      </c>
      <c r="J261" s="368" t="s">
        <v>250</v>
      </c>
      <c r="K261" s="368"/>
      <c r="L261" s="370"/>
      <c r="M261" s="371" t="s">
        <v>383</v>
      </c>
      <c r="N261" s="368" t="s">
        <v>281</v>
      </c>
      <c r="O261" s="368"/>
      <c r="P261" s="370"/>
      <c r="Q261" s="371" t="s">
        <v>383</v>
      </c>
      <c r="R261" s="457" t="s">
        <v>282</v>
      </c>
      <c r="S261" s="457"/>
      <c r="T261" s="457"/>
      <c r="U261" s="457"/>
      <c r="V261" s="457"/>
      <c r="W261" s="457"/>
      <c r="X261" s="560"/>
      <c r="Y261" s="412" t="s">
        <v>383</v>
      </c>
      <c r="Z261" s="413" t="s">
        <v>249</v>
      </c>
      <c r="AA261" s="413"/>
      <c r="AB261" s="564"/>
      <c r="AC261" s="138" t="s">
        <v>383</v>
      </c>
      <c r="AD261" s="119" t="s">
        <v>249</v>
      </c>
      <c r="AE261" s="119"/>
      <c r="AF261" s="137"/>
      <c r="AG261" s="109" t="str">
        <f>"ser_code = '" &amp; IF(A265="■",79,"") &amp; "'"</f>
        <v>ser_code = ''</v>
      </c>
      <c r="AH261" s="109"/>
      <c r="AI261" s="109" t="str">
        <f>"79:"&amp;IF(AND(I261="□",M261="□",Q261="□"),"ketu_kangos_code:0",IF(I261="■","ketu_kangos_code:1:ketu_kshoku_code:1",IF(M261="■","ketu_kangos_code:2","ketu_kangos_code:1")&amp;IF(Q261="■",":ketu_kshoku_code:2",":ketu_kshoku_code:1")))</f>
        <v>79:ketu_kangos_code:0</v>
      </c>
      <c r="AJ261" s="109" t="str">
        <f>"79:field203:" &amp; IF(Y261="■",1,IF(Y262="■",2,0))</f>
        <v>79:field203:0</v>
      </c>
      <c r="AK261" s="109" t="str">
        <f>"79:waribiki_code:" &amp; IF(AC261="■",1,IF(AC262="■",2,0))</f>
        <v>79:waribiki_code:0</v>
      </c>
    </row>
    <row r="262" spans="1:37" ht="18.75" customHeight="1" x14ac:dyDescent="0.2">
      <c r="A262" s="139"/>
      <c r="B262" s="123"/>
      <c r="C262" s="237"/>
      <c r="D262" s="142"/>
      <c r="E262" s="128"/>
      <c r="F262" s="260"/>
      <c r="G262" s="270"/>
      <c r="H262" s="458" t="s">
        <v>185</v>
      </c>
      <c r="I262" s="349" t="s">
        <v>383</v>
      </c>
      <c r="J262" s="350" t="s">
        <v>395</v>
      </c>
      <c r="K262" s="351"/>
      <c r="L262" s="352"/>
      <c r="M262" s="353" t="s">
        <v>383</v>
      </c>
      <c r="N262" s="350" t="s">
        <v>396</v>
      </c>
      <c r="O262" s="355"/>
      <c r="P262" s="355"/>
      <c r="Q262" s="351"/>
      <c r="R262" s="351"/>
      <c r="S262" s="351"/>
      <c r="T262" s="351"/>
      <c r="U262" s="351"/>
      <c r="V262" s="351"/>
      <c r="W262" s="351"/>
      <c r="X262" s="365"/>
      <c r="Y262" s="538" t="s">
        <v>383</v>
      </c>
      <c r="Z262" s="409" t="s">
        <v>255</v>
      </c>
      <c r="AA262" s="445"/>
      <c r="AB262" s="565"/>
      <c r="AC262" s="125" t="s">
        <v>383</v>
      </c>
      <c r="AD262" s="126" t="s">
        <v>255</v>
      </c>
      <c r="AE262" s="147"/>
      <c r="AF262" s="148"/>
      <c r="AG262" s="109" t="str">
        <f>"79:sisetukbn_code:" &amp; IF(D264="■",1,IF(D265="■",2,0))</f>
        <v>79:sisetukbn_code:0</v>
      </c>
      <c r="AI262" s="109" t="str">
        <f>"79:sintaikousoku_code:" &amp; IF(I262="■",1,IF(M262="■",2,0))</f>
        <v>79:sintaikousoku_code:0</v>
      </c>
    </row>
    <row r="263" spans="1:37" ht="19.5" customHeight="1" x14ac:dyDescent="0.2">
      <c r="A263" s="139"/>
      <c r="B263" s="123"/>
      <c r="C263" s="140"/>
      <c r="D263" s="141"/>
      <c r="E263" s="128"/>
      <c r="F263" s="142"/>
      <c r="G263" s="143"/>
      <c r="H263" s="348" t="s">
        <v>430</v>
      </c>
      <c r="I263" s="349" t="s">
        <v>383</v>
      </c>
      <c r="J263" s="350" t="s">
        <v>395</v>
      </c>
      <c r="K263" s="351"/>
      <c r="L263" s="352"/>
      <c r="M263" s="353" t="s">
        <v>383</v>
      </c>
      <c r="N263" s="350" t="s">
        <v>431</v>
      </c>
      <c r="O263" s="354"/>
      <c r="P263" s="350"/>
      <c r="Q263" s="355"/>
      <c r="R263" s="355"/>
      <c r="S263" s="355"/>
      <c r="T263" s="355"/>
      <c r="U263" s="355"/>
      <c r="V263" s="355"/>
      <c r="W263" s="355"/>
      <c r="X263" s="356"/>
      <c r="Y263" s="444"/>
      <c r="Z263" s="409"/>
      <c r="AA263" s="445"/>
      <c r="AB263" s="565"/>
      <c r="AC263" s="154"/>
      <c r="AD263" s="126"/>
      <c r="AE263" s="147"/>
      <c r="AF263" s="148"/>
      <c r="AG263" s="109"/>
      <c r="AI263" s="109" t="str">
        <f>"79:field223:" &amp; IF(I263="■",1,IF(M263="■",2,0))</f>
        <v>79:field223:0</v>
      </c>
    </row>
    <row r="264" spans="1:37" ht="19.5" customHeight="1" x14ac:dyDescent="0.2">
      <c r="A264" s="139"/>
      <c r="B264" s="123"/>
      <c r="C264" s="237" t="s">
        <v>593</v>
      </c>
      <c r="D264" s="125" t="s">
        <v>383</v>
      </c>
      <c r="E264" s="128" t="s">
        <v>594</v>
      </c>
      <c r="F264" s="142"/>
      <c r="G264" s="143"/>
      <c r="H264" s="348" t="s">
        <v>448</v>
      </c>
      <c r="I264" s="349" t="s">
        <v>383</v>
      </c>
      <c r="J264" s="350" t="s">
        <v>395</v>
      </c>
      <c r="K264" s="351"/>
      <c r="L264" s="352"/>
      <c r="M264" s="353" t="s">
        <v>383</v>
      </c>
      <c r="N264" s="350" t="s">
        <v>431</v>
      </c>
      <c r="O264" s="354"/>
      <c r="P264" s="350"/>
      <c r="Q264" s="355"/>
      <c r="R264" s="355"/>
      <c r="S264" s="355"/>
      <c r="T264" s="355"/>
      <c r="U264" s="355"/>
      <c r="V264" s="355"/>
      <c r="W264" s="355"/>
      <c r="X264" s="356"/>
      <c r="Y264" s="444"/>
      <c r="Z264" s="409"/>
      <c r="AA264" s="445"/>
      <c r="AB264" s="565"/>
      <c r="AC264" s="154"/>
      <c r="AD264" s="126"/>
      <c r="AE264" s="147"/>
      <c r="AF264" s="148"/>
      <c r="AI264" s="109" t="str">
        <f>"79:field232:" &amp; IF(I264="■",1,IF(M264="■",2,0))</f>
        <v>79:field232:0</v>
      </c>
    </row>
    <row r="265" spans="1:37" ht="18.75" customHeight="1" x14ac:dyDescent="0.2">
      <c r="A265" s="125" t="s">
        <v>383</v>
      </c>
      <c r="B265" s="123">
        <v>79</v>
      </c>
      <c r="C265" s="237" t="s">
        <v>595</v>
      </c>
      <c r="D265" s="125" t="s">
        <v>383</v>
      </c>
      <c r="E265" s="128" t="s">
        <v>596</v>
      </c>
      <c r="F265" s="142"/>
      <c r="G265" s="270"/>
      <c r="H265" s="743" t="s">
        <v>478</v>
      </c>
      <c r="I265" s="797" t="s">
        <v>781</v>
      </c>
      <c r="J265" s="796" t="s">
        <v>256</v>
      </c>
      <c r="K265" s="796"/>
      <c r="L265" s="796"/>
      <c r="M265" s="797" t="s">
        <v>383</v>
      </c>
      <c r="N265" s="796" t="s">
        <v>257</v>
      </c>
      <c r="O265" s="796"/>
      <c r="P265" s="796"/>
      <c r="Q265" s="438"/>
      <c r="R265" s="438"/>
      <c r="S265" s="438"/>
      <c r="T265" s="438"/>
      <c r="U265" s="438"/>
      <c r="V265" s="438"/>
      <c r="W265" s="438"/>
      <c r="X265" s="507"/>
      <c r="Y265" s="444"/>
      <c r="Z265" s="445"/>
      <c r="AA265" s="445"/>
      <c r="AB265" s="565"/>
      <c r="AC265" s="154"/>
      <c r="AD265" s="147"/>
      <c r="AE265" s="147"/>
      <c r="AF265" s="148"/>
      <c r="AG265" s="289"/>
      <c r="AI265" s="109" t="str">
        <f>"79:chuusankanti_tiiki_code:" &amp; IF(I265="■",1,IF(M265="■",2,0))</f>
        <v>79:chuusankanti_tiiki_code:1</v>
      </c>
    </row>
    <row r="266" spans="1:37" ht="18.75" customHeight="1" x14ac:dyDescent="0.2">
      <c r="A266" s="139"/>
      <c r="B266" s="123"/>
      <c r="C266" s="237" t="s">
        <v>598</v>
      </c>
      <c r="D266" s="142"/>
      <c r="E266" s="128" t="s">
        <v>551</v>
      </c>
      <c r="F266" s="142"/>
      <c r="G266" s="270"/>
      <c r="H266" s="744"/>
      <c r="I266" s="793"/>
      <c r="J266" s="795"/>
      <c r="K266" s="795"/>
      <c r="L266" s="795"/>
      <c r="M266" s="793"/>
      <c r="N266" s="795"/>
      <c r="O266" s="795"/>
      <c r="P266" s="795"/>
      <c r="Q266" s="436"/>
      <c r="R266" s="436"/>
      <c r="S266" s="436"/>
      <c r="T266" s="436"/>
      <c r="U266" s="436"/>
      <c r="V266" s="436"/>
      <c r="W266" s="436"/>
      <c r="X266" s="437"/>
      <c r="Y266" s="444"/>
      <c r="Z266" s="445"/>
      <c r="AA266" s="445"/>
      <c r="AB266" s="565"/>
      <c r="AC266" s="154"/>
      <c r="AD266" s="147"/>
      <c r="AE266" s="147"/>
      <c r="AF266" s="148"/>
      <c r="AG266" s="289"/>
    </row>
    <row r="267" spans="1:37" ht="18.75" customHeight="1" x14ac:dyDescent="0.2">
      <c r="A267" s="139"/>
      <c r="B267" s="123"/>
      <c r="C267" s="237"/>
      <c r="D267" s="142"/>
      <c r="E267" s="128"/>
      <c r="F267" s="142"/>
      <c r="G267" s="270"/>
      <c r="H267" s="435" t="s">
        <v>442</v>
      </c>
      <c r="I267" s="349" t="s">
        <v>383</v>
      </c>
      <c r="J267" s="350" t="s">
        <v>250</v>
      </c>
      <c r="K267" s="350"/>
      <c r="L267" s="353" t="s">
        <v>383</v>
      </c>
      <c r="M267" s="350" t="s">
        <v>251</v>
      </c>
      <c r="N267" s="350"/>
      <c r="O267" s="353" t="s">
        <v>383</v>
      </c>
      <c r="P267" s="350" t="s">
        <v>252</v>
      </c>
      <c r="Q267" s="355"/>
      <c r="R267" s="355"/>
      <c r="S267" s="355"/>
      <c r="T267" s="355"/>
      <c r="U267" s="410"/>
      <c r="V267" s="410"/>
      <c r="W267" s="410"/>
      <c r="X267" s="411"/>
      <c r="Y267" s="444"/>
      <c r="Z267" s="445"/>
      <c r="AA267" s="445"/>
      <c r="AB267" s="565"/>
      <c r="AC267" s="154"/>
      <c r="AD267" s="147"/>
      <c r="AE267" s="147"/>
      <c r="AF267" s="148"/>
      <c r="AI267" s="109" t="str">
        <f>"79:field225:" &amp; IF(I267="■",1,IF(L267="■",2,IF(O267="■",3,0)))</f>
        <v>79:field225:0</v>
      </c>
    </row>
    <row r="268" spans="1:37" ht="18.75" customHeight="1" x14ac:dyDescent="0.2">
      <c r="A268" s="139"/>
      <c r="B268" s="123"/>
      <c r="C268" s="237"/>
      <c r="D268" s="142"/>
      <c r="E268" s="128"/>
      <c r="F268" s="142"/>
      <c r="G268" s="270"/>
      <c r="H268" s="508" t="s">
        <v>118</v>
      </c>
      <c r="I268" s="349" t="s">
        <v>383</v>
      </c>
      <c r="J268" s="350" t="s">
        <v>250</v>
      </c>
      <c r="K268" s="350"/>
      <c r="L268" s="353" t="s">
        <v>383</v>
      </c>
      <c r="M268" s="350" t="s">
        <v>258</v>
      </c>
      <c r="N268" s="350"/>
      <c r="O268" s="353" t="s">
        <v>383</v>
      </c>
      <c r="P268" s="350" t="s">
        <v>259</v>
      </c>
      <c r="Q268" s="531"/>
      <c r="R268" s="353" t="s">
        <v>383</v>
      </c>
      <c r="S268" s="350" t="s">
        <v>283</v>
      </c>
      <c r="T268" s="531"/>
      <c r="U268" s="531"/>
      <c r="V268" s="531"/>
      <c r="W268" s="531"/>
      <c r="X268" s="440"/>
      <c r="Y268" s="444"/>
      <c r="Z268" s="445"/>
      <c r="AA268" s="445"/>
      <c r="AB268" s="565"/>
      <c r="AC268" s="154"/>
      <c r="AD268" s="147"/>
      <c r="AE268" s="147"/>
      <c r="AF268" s="148"/>
      <c r="AI268" s="109" t="str">
        <f>"79:serteikyo_kyoka_code:" &amp; IF(I268="■",1,IF(L268="■",6,IF(O268="■",5,IF(R268="■",7,0))))</f>
        <v>79:serteikyo_kyoka_code:0</v>
      </c>
    </row>
    <row r="269" spans="1:37" s="621" customFormat="1" ht="20.399999999999999" customHeight="1" x14ac:dyDescent="0.2">
      <c r="A269" s="139"/>
      <c r="B269" s="670"/>
      <c r="C269" s="140"/>
      <c r="D269" s="141"/>
      <c r="E269" s="128"/>
      <c r="F269" s="142"/>
      <c r="G269" s="143"/>
      <c r="H269" s="713" t="s">
        <v>790</v>
      </c>
      <c r="I269" s="642" t="s">
        <v>383</v>
      </c>
      <c r="J269" s="616" t="s">
        <v>627</v>
      </c>
      <c r="K269" s="616"/>
      <c r="L269" s="615"/>
      <c r="M269" s="644" t="s">
        <v>383</v>
      </c>
      <c r="N269" s="616" t="s">
        <v>791</v>
      </c>
      <c r="O269" s="617"/>
      <c r="P269" s="615"/>
      <c r="Q269" s="644" t="s">
        <v>383</v>
      </c>
      <c r="R269" s="618" t="s">
        <v>792</v>
      </c>
      <c r="S269" s="615"/>
      <c r="T269" s="615"/>
      <c r="U269" s="615"/>
      <c r="V269" s="618"/>
      <c r="W269" s="619"/>
      <c r="X269" s="620"/>
      <c r="Y269" s="154"/>
      <c r="Z269" s="147"/>
      <c r="AA269" s="147"/>
      <c r="AB269" s="148"/>
      <c r="AC269" s="154"/>
      <c r="AD269" s="147"/>
      <c r="AE269" s="147"/>
      <c r="AF269" s="148"/>
    </row>
    <row r="270" spans="1:37" s="621" customFormat="1" ht="18.75" customHeight="1" x14ac:dyDescent="0.2">
      <c r="A270" s="183"/>
      <c r="B270" s="658"/>
      <c r="C270" s="185"/>
      <c r="D270" s="186"/>
      <c r="E270" s="187"/>
      <c r="F270" s="188"/>
      <c r="G270" s="189"/>
      <c r="H270" s="714"/>
      <c r="I270" s="643" t="s">
        <v>383</v>
      </c>
      <c r="J270" s="623" t="s">
        <v>793</v>
      </c>
      <c r="K270" s="623"/>
      <c r="L270" s="622"/>
      <c r="M270" s="211" t="s">
        <v>383</v>
      </c>
      <c r="N270" s="623" t="s">
        <v>794</v>
      </c>
      <c r="O270" s="624"/>
      <c r="P270" s="622"/>
      <c r="Q270" s="211" t="s">
        <v>383</v>
      </c>
      <c r="R270" s="623" t="s">
        <v>795</v>
      </c>
      <c r="S270" s="622"/>
      <c r="T270" s="623"/>
      <c r="U270" s="211" t="s">
        <v>383</v>
      </c>
      <c r="V270" s="623" t="s">
        <v>796</v>
      </c>
      <c r="W270" s="625"/>
      <c r="X270" s="626"/>
      <c r="Y270" s="194"/>
      <c r="Z270" s="147"/>
      <c r="AA270" s="147"/>
      <c r="AB270" s="148"/>
      <c r="AC270" s="194"/>
      <c r="AD270" s="147"/>
      <c r="AE270" s="147"/>
      <c r="AF270" s="148"/>
    </row>
    <row r="271" spans="1:37" ht="18.75" customHeight="1" x14ac:dyDescent="0.2">
      <c r="A271" s="129"/>
      <c r="B271" s="116"/>
      <c r="C271" s="233"/>
      <c r="D271" s="132"/>
      <c r="E271" s="121"/>
      <c r="F271" s="132"/>
      <c r="G271" s="136"/>
      <c r="H271" s="559" t="s">
        <v>93</v>
      </c>
      <c r="I271" s="367" t="s">
        <v>383</v>
      </c>
      <c r="J271" s="368" t="s">
        <v>250</v>
      </c>
      <c r="K271" s="368"/>
      <c r="L271" s="370"/>
      <c r="M271" s="371" t="s">
        <v>383</v>
      </c>
      <c r="N271" s="368" t="s">
        <v>281</v>
      </c>
      <c r="O271" s="368"/>
      <c r="P271" s="370"/>
      <c r="Q271" s="371" t="s">
        <v>383</v>
      </c>
      <c r="R271" s="457" t="s">
        <v>282</v>
      </c>
      <c r="S271" s="457"/>
      <c r="T271" s="457"/>
      <c r="U271" s="457"/>
      <c r="V271" s="457"/>
      <c r="W271" s="457"/>
      <c r="X271" s="560"/>
      <c r="Y271" s="412" t="s">
        <v>383</v>
      </c>
      <c r="Z271" s="413" t="s">
        <v>249</v>
      </c>
      <c r="AA271" s="413"/>
      <c r="AB271" s="564"/>
      <c r="AC271" s="138" t="s">
        <v>383</v>
      </c>
      <c r="AD271" s="119" t="s">
        <v>249</v>
      </c>
      <c r="AE271" s="119"/>
      <c r="AF271" s="137"/>
      <c r="AG271" s="109" t="str">
        <f>"ser_code = '" &amp; IF(A278="■",74,"") &amp; "'"</f>
        <v>ser_code = ''</v>
      </c>
      <c r="AH271" s="109"/>
      <c r="AI271" s="109" t="str">
        <f>"74:"&amp;IF(AND(I271="□",M271="□",Q271="□"),"ketu_kangos_code:0",IF(I271="■","ketu_kangos_code:1:ketu_kshoku_code:1",IF(M271="■","ketu_kangos_code:2","ketu_kangos_code:1")&amp;IF(Q271="■",":ketu_kshoku_code:2",":ketu_kshoku_code:1")))</f>
        <v>74:ketu_kangos_code:0</v>
      </c>
      <c r="AJ271" s="109" t="str">
        <f>"74:field203:" &amp; IF(Y271="■",1,IF(Y272="■",2,0))</f>
        <v>74:field203:0</v>
      </c>
      <c r="AK271" s="109" t="str">
        <f>"74:waribiki_code:" &amp; IF(AC271="■",1,IF(AC272="■",2,0))</f>
        <v>74:waribiki_code:0</v>
      </c>
    </row>
    <row r="272" spans="1:37" ht="19.5" customHeight="1" x14ac:dyDescent="0.2">
      <c r="A272" s="139"/>
      <c r="B272" s="123"/>
      <c r="C272" s="140"/>
      <c r="D272" s="141"/>
      <c r="E272" s="128"/>
      <c r="F272" s="142"/>
      <c r="G272" s="143"/>
      <c r="H272" s="348" t="s">
        <v>430</v>
      </c>
      <c r="I272" s="349" t="s">
        <v>383</v>
      </c>
      <c r="J272" s="350" t="s">
        <v>395</v>
      </c>
      <c r="K272" s="351"/>
      <c r="L272" s="352"/>
      <c r="M272" s="353" t="s">
        <v>383</v>
      </c>
      <c r="N272" s="350" t="s">
        <v>431</v>
      </c>
      <c r="O272" s="354"/>
      <c r="P272" s="350"/>
      <c r="Q272" s="355"/>
      <c r="R272" s="355"/>
      <c r="S272" s="355"/>
      <c r="T272" s="355"/>
      <c r="U272" s="355"/>
      <c r="V272" s="355"/>
      <c r="W272" s="355"/>
      <c r="X272" s="356"/>
      <c r="Y272" s="538" t="s">
        <v>383</v>
      </c>
      <c r="Z272" s="409" t="s">
        <v>255</v>
      </c>
      <c r="AA272" s="445"/>
      <c r="AB272" s="565"/>
      <c r="AC272" s="125" t="s">
        <v>383</v>
      </c>
      <c r="AD272" s="126" t="s">
        <v>255</v>
      </c>
      <c r="AE272" s="147"/>
      <c r="AF272" s="148"/>
      <c r="AG272" s="109" t="str">
        <f>"74:sisetukbn_code:" &amp; IF(D278="■",1,IF(D279="■",2,IF(D280="■",3,0)))</f>
        <v>74:sisetukbn_code:0</v>
      </c>
      <c r="AI272" s="109" t="str">
        <f>"74:field223:" &amp; IF(I272="■",1,IF(M272="■",2,0))</f>
        <v>74:field223:0</v>
      </c>
    </row>
    <row r="273" spans="1:37" ht="19.5" customHeight="1" x14ac:dyDescent="0.2">
      <c r="A273" s="139"/>
      <c r="B273" s="123"/>
      <c r="C273" s="140"/>
      <c r="D273" s="141"/>
      <c r="E273" s="128"/>
      <c r="F273" s="142"/>
      <c r="G273" s="143"/>
      <c r="H273" s="348" t="s">
        <v>448</v>
      </c>
      <c r="I273" s="349" t="s">
        <v>383</v>
      </c>
      <c r="J273" s="350" t="s">
        <v>395</v>
      </c>
      <c r="K273" s="351"/>
      <c r="L273" s="352"/>
      <c r="M273" s="353" t="s">
        <v>383</v>
      </c>
      <c r="N273" s="350" t="s">
        <v>431</v>
      </c>
      <c r="O273" s="354"/>
      <c r="P273" s="350"/>
      <c r="Q273" s="355"/>
      <c r="R273" s="355"/>
      <c r="S273" s="355"/>
      <c r="T273" s="355"/>
      <c r="U273" s="355"/>
      <c r="V273" s="355"/>
      <c r="W273" s="355"/>
      <c r="X273" s="356"/>
      <c r="Y273" s="444"/>
      <c r="Z273" s="409"/>
      <c r="AA273" s="445"/>
      <c r="AB273" s="565"/>
      <c r="AC273" s="154"/>
      <c r="AD273" s="126"/>
      <c r="AE273" s="147"/>
      <c r="AF273" s="148"/>
      <c r="AI273" s="109" t="str">
        <f>"74:field232:" &amp; IF(I273="■",1,IF(M273="■",2,0))</f>
        <v>74:field232:0</v>
      </c>
    </row>
    <row r="274" spans="1:37" ht="18.75" customHeight="1" x14ac:dyDescent="0.2">
      <c r="A274" s="139"/>
      <c r="B274" s="123"/>
      <c r="C274" s="237"/>
      <c r="D274" s="142"/>
      <c r="E274" s="128"/>
      <c r="F274" s="142"/>
      <c r="G274" s="270"/>
      <c r="H274" s="743" t="s">
        <v>223</v>
      </c>
      <c r="I274" s="804" t="s">
        <v>383</v>
      </c>
      <c r="J274" s="796" t="s">
        <v>250</v>
      </c>
      <c r="K274" s="796"/>
      <c r="L274" s="846" t="s">
        <v>383</v>
      </c>
      <c r="M274" s="796" t="s">
        <v>267</v>
      </c>
      <c r="N274" s="796"/>
      <c r="O274" s="534"/>
      <c r="P274" s="534"/>
      <c r="Q274" s="534"/>
      <c r="R274" s="534"/>
      <c r="S274" s="534"/>
      <c r="T274" s="534"/>
      <c r="U274" s="534"/>
      <c r="V274" s="534"/>
      <c r="W274" s="534"/>
      <c r="X274" s="379"/>
      <c r="Y274" s="444"/>
      <c r="Z274" s="445"/>
      <c r="AA274" s="445"/>
      <c r="AB274" s="565"/>
      <c r="AC274" s="154"/>
      <c r="AD274" s="147"/>
      <c r="AE274" s="147"/>
      <c r="AF274" s="148"/>
      <c r="AI274" s="109" t="str">
        <f>"74:field204:" &amp; IF(I274="■",1,IF(L274="■",2,0))</f>
        <v>74:field204:0</v>
      </c>
    </row>
    <row r="275" spans="1:37" ht="18.75" customHeight="1" x14ac:dyDescent="0.2">
      <c r="A275" s="139"/>
      <c r="B275" s="123"/>
      <c r="C275" s="237"/>
      <c r="D275" s="142"/>
      <c r="E275" s="128"/>
      <c r="F275" s="142"/>
      <c r="G275" s="270"/>
      <c r="H275" s="809"/>
      <c r="I275" s="810"/>
      <c r="J275" s="794"/>
      <c r="K275" s="794"/>
      <c r="L275" s="811"/>
      <c r="M275" s="794"/>
      <c r="N275" s="794"/>
      <c r="O275" s="532"/>
      <c r="P275" s="532"/>
      <c r="Q275" s="532"/>
      <c r="R275" s="532"/>
      <c r="S275" s="532"/>
      <c r="T275" s="532"/>
      <c r="U275" s="532"/>
      <c r="V275" s="532"/>
      <c r="W275" s="532"/>
      <c r="X275" s="510"/>
      <c r="Y275" s="444"/>
      <c r="Z275" s="445"/>
      <c r="AA275" s="445"/>
      <c r="AB275" s="565"/>
      <c r="AC275" s="154"/>
      <c r="AD275" s="147"/>
      <c r="AE275" s="147"/>
      <c r="AF275" s="148"/>
    </row>
    <row r="276" spans="1:37" ht="18.75" customHeight="1" x14ac:dyDescent="0.2">
      <c r="A276" s="139"/>
      <c r="B276" s="123"/>
      <c r="C276" s="237"/>
      <c r="D276" s="142"/>
      <c r="E276" s="128"/>
      <c r="F276" s="142"/>
      <c r="G276" s="270"/>
      <c r="H276" s="744"/>
      <c r="I276" s="805"/>
      <c r="J276" s="795"/>
      <c r="K276" s="795"/>
      <c r="L276" s="812"/>
      <c r="M276" s="795"/>
      <c r="N276" s="795"/>
      <c r="O276" s="533"/>
      <c r="P276" s="533"/>
      <c r="Q276" s="533"/>
      <c r="R276" s="533"/>
      <c r="S276" s="533"/>
      <c r="T276" s="533"/>
      <c r="U276" s="533"/>
      <c r="V276" s="533"/>
      <c r="W276" s="533"/>
      <c r="X276" s="385"/>
      <c r="Y276" s="444"/>
      <c r="Z276" s="445"/>
      <c r="AA276" s="445"/>
      <c r="AB276" s="565"/>
      <c r="AC276" s="154"/>
      <c r="AD276" s="147"/>
      <c r="AE276" s="147"/>
      <c r="AF276" s="148"/>
    </row>
    <row r="277" spans="1:37" ht="18.75" customHeight="1" x14ac:dyDescent="0.2">
      <c r="A277" s="139"/>
      <c r="B277" s="123"/>
      <c r="C277" s="237"/>
      <c r="D277" s="142"/>
      <c r="E277" s="128"/>
      <c r="F277" s="142"/>
      <c r="G277" s="270"/>
      <c r="H277" s="508" t="s">
        <v>94</v>
      </c>
      <c r="I277" s="349" t="s">
        <v>383</v>
      </c>
      <c r="J277" s="350" t="s">
        <v>265</v>
      </c>
      <c r="K277" s="351"/>
      <c r="L277" s="352"/>
      <c r="M277" s="353" t="s">
        <v>383</v>
      </c>
      <c r="N277" s="350" t="s">
        <v>266</v>
      </c>
      <c r="O277" s="355"/>
      <c r="P277" s="355"/>
      <c r="Q277" s="355"/>
      <c r="R277" s="355"/>
      <c r="S277" s="355"/>
      <c r="T277" s="355"/>
      <c r="U277" s="355"/>
      <c r="V277" s="355"/>
      <c r="W277" s="355"/>
      <c r="X277" s="356"/>
      <c r="Y277" s="444"/>
      <c r="Z277" s="445"/>
      <c r="AA277" s="445"/>
      <c r="AB277" s="565"/>
      <c r="AC277" s="154"/>
      <c r="AD277" s="147"/>
      <c r="AE277" s="147"/>
      <c r="AF277" s="148"/>
      <c r="AI277" s="109" t="str">
        <f>"74:timeser_code:" &amp; IF(I277="■",1,IF(M277="■",2,0))</f>
        <v>74:timeser_code:0</v>
      </c>
    </row>
    <row r="278" spans="1:37" ht="18.75" customHeight="1" x14ac:dyDescent="0.2">
      <c r="A278" s="125" t="s">
        <v>383</v>
      </c>
      <c r="B278" s="123">
        <v>74</v>
      </c>
      <c r="C278" s="237" t="s">
        <v>599</v>
      </c>
      <c r="D278" s="125" t="s">
        <v>383</v>
      </c>
      <c r="E278" s="128" t="s">
        <v>309</v>
      </c>
      <c r="F278" s="142"/>
      <c r="G278" s="270"/>
      <c r="H278" s="461" t="s">
        <v>230</v>
      </c>
      <c r="I278" s="536" t="s">
        <v>383</v>
      </c>
      <c r="J278" s="350" t="s">
        <v>250</v>
      </c>
      <c r="K278" s="350"/>
      <c r="L278" s="353" t="s">
        <v>383</v>
      </c>
      <c r="M278" s="350" t="s">
        <v>251</v>
      </c>
      <c r="N278" s="350"/>
      <c r="O278" s="561" t="s">
        <v>383</v>
      </c>
      <c r="P278" s="350" t="s">
        <v>252</v>
      </c>
      <c r="Q278" s="531"/>
      <c r="R278" s="531"/>
      <c r="S278" s="531"/>
      <c r="T278" s="531"/>
      <c r="U278" s="531"/>
      <c r="V278" s="531"/>
      <c r="W278" s="531"/>
      <c r="X278" s="440"/>
      <c r="Y278" s="444"/>
      <c r="Z278" s="445"/>
      <c r="AA278" s="445"/>
      <c r="AB278" s="565"/>
      <c r="AC278" s="154"/>
      <c r="AD278" s="147"/>
      <c r="AE278" s="147"/>
      <c r="AF278" s="148"/>
      <c r="AI278" s="109" t="str">
        <f>"74:nyukai_code:" &amp; IF(I278="■",1,IF(O278="■",3,IF(L278="■",2,0)))</f>
        <v>74:nyukai_code:0</v>
      </c>
    </row>
    <row r="279" spans="1:37" ht="18.75" customHeight="1" x14ac:dyDescent="0.2">
      <c r="A279" s="139"/>
      <c r="B279" s="123"/>
      <c r="C279" s="237" t="s">
        <v>5</v>
      </c>
      <c r="D279" s="125" t="s">
        <v>383</v>
      </c>
      <c r="E279" s="128" t="s">
        <v>543</v>
      </c>
      <c r="F279" s="142"/>
      <c r="G279" s="270"/>
      <c r="H279" s="461" t="s">
        <v>183</v>
      </c>
      <c r="I279" s="349" t="s">
        <v>383</v>
      </c>
      <c r="J279" s="350" t="s">
        <v>250</v>
      </c>
      <c r="K279" s="350"/>
      <c r="L279" s="353" t="s">
        <v>383</v>
      </c>
      <c r="M279" s="350" t="s">
        <v>268</v>
      </c>
      <c r="N279" s="350"/>
      <c r="O279" s="353" t="s">
        <v>383</v>
      </c>
      <c r="P279" s="350" t="s">
        <v>269</v>
      </c>
      <c r="Q279" s="531"/>
      <c r="R279" s="531"/>
      <c r="S279" s="531"/>
      <c r="T279" s="531"/>
      <c r="U279" s="531"/>
      <c r="V279" s="531"/>
      <c r="W279" s="531"/>
      <c r="X279" s="440"/>
      <c r="Y279" s="444"/>
      <c r="Z279" s="445"/>
      <c r="AA279" s="445"/>
      <c r="AB279" s="565"/>
      <c r="AC279" s="154"/>
      <c r="AD279" s="147"/>
      <c r="AE279" s="147"/>
      <c r="AF279" s="148"/>
      <c r="AI279" s="109" t="str">
        <f>"74:field185:" &amp; IF(I279="■",1,IF(L279="■",3,IF(O279="■",2,0)))</f>
        <v>74:field185:0</v>
      </c>
    </row>
    <row r="280" spans="1:37" ht="18.75" customHeight="1" x14ac:dyDescent="0.2">
      <c r="A280" s="139"/>
      <c r="B280" s="123"/>
      <c r="C280" s="237"/>
      <c r="D280" s="125" t="s">
        <v>383</v>
      </c>
      <c r="E280" s="128" t="s">
        <v>544</v>
      </c>
      <c r="F280" s="142"/>
      <c r="G280" s="270"/>
      <c r="H280" s="461" t="s">
        <v>234</v>
      </c>
      <c r="I280" s="349" t="s">
        <v>383</v>
      </c>
      <c r="J280" s="350" t="s">
        <v>250</v>
      </c>
      <c r="K280" s="351"/>
      <c r="L280" s="353" t="s">
        <v>383</v>
      </c>
      <c r="M280" s="350" t="s">
        <v>267</v>
      </c>
      <c r="N280" s="531"/>
      <c r="O280" s="531"/>
      <c r="P280" s="531"/>
      <c r="Q280" s="531"/>
      <c r="R280" s="531"/>
      <c r="S280" s="531"/>
      <c r="T280" s="531"/>
      <c r="U280" s="531"/>
      <c r="V280" s="531"/>
      <c r="W280" s="531"/>
      <c r="X280" s="440"/>
      <c r="Y280" s="444"/>
      <c r="Z280" s="445"/>
      <c r="AA280" s="445"/>
      <c r="AB280" s="565"/>
      <c r="AC280" s="154"/>
      <c r="AD280" s="147"/>
      <c r="AE280" s="147"/>
      <c r="AF280" s="148"/>
      <c r="AI280" s="109" t="str">
        <f>"74:kobetu_kunren_code:" &amp; IF(I280="■",1,IF(L280="■",2,0))</f>
        <v>74:kobetu_kunren_code:0</v>
      </c>
    </row>
    <row r="281" spans="1:37" ht="18.75" customHeight="1" x14ac:dyDescent="0.2">
      <c r="A281" s="139"/>
      <c r="B281" s="123"/>
      <c r="C281" s="237"/>
      <c r="D281" s="142"/>
      <c r="E281" s="128"/>
      <c r="F281" s="142"/>
      <c r="G281" s="270"/>
      <c r="H281" s="508" t="s">
        <v>486</v>
      </c>
      <c r="I281" s="349" t="s">
        <v>383</v>
      </c>
      <c r="J281" s="350" t="s">
        <v>250</v>
      </c>
      <c r="K281" s="351"/>
      <c r="L281" s="353" t="s">
        <v>383</v>
      </c>
      <c r="M281" s="350" t="s">
        <v>267</v>
      </c>
      <c r="N281" s="531"/>
      <c r="O281" s="531"/>
      <c r="P281" s="531"/>
      <c r="Q281" s="531"/>
      <c r="R281" s="531"/>
      <c r="S281" s="531"/>
      <c r="T281" s="531"/>
      <c r="U281" s="531"/>
      <c r="V281" s="531"/>
      <c r="W281" s="531"/>
      <c r="X281" s="440"/>
      <c r="Y281" s="444"/>
      <c r="Z281" s="445"/>
      <c r="AA281" s="445"/>
      <c r="AB281" s="565"/>
      <c r="AC281" s="154"/>
      <c r="AD281" s="147"/>
      <c r="AE281" s="147"/>
      <c r="AF281" s="148"/>
      <c r="AI281" s="109" t="str">
        <f>"74:jyakuninti_uke_code:" &amp; IF(I281="■",1,IF(L281="■",2,0))</f>
        <v>74:jyakuninti_uke_code:0</v>
      </c>
    </row>
    <row r="282" spans="1:37" ht="18.75" customHeight="1" x14ac:dyDescent="0.2">
      <c r="A282" s="139"/>
      <c r="B282" s="123"/>
      <c r="C282" s="237"/>
      <c r="D282" s="142"/>
      <c r="E282" s="128"/>
      <c r="F282" s="142"/>
      <c r="G282" s="270"/>
      <c r="H282" s="409" t="s">
        <v>236</v>
      </c>
      <c r="I282" s="349" t="s">
        <v>383</v>
      </c>
      <c r="J282" s="350" t="s">
        <v>250</v>
      </c>
      <c r="K282" s="351"/>
      <c r="L282" s="353" t="s">
        <v>383</v>
      </c>
      <c r="M282" s="350" t="s">
        <v>267</v>
      </c>
      <c r="N282" s="531"/>
      <c r="O282" s="531"/>
      <c r="P282" s="531"/>
      <c r="Q282" s="531"/>
      <c r="R282" s="531"/>
      <c r="S282" s="531"/>
      <c r="T282" s="531"/>
      <c r="U282" s="531"/>
      <c r="V282" s="531"/>
      <c r="W282" s="531"/>
      <c r="X282" s="440"/>
      <c r="Y282" s="444"/>
      <c r="Z282" s="445"/>
      <c r="AA282" s="445"/>
      <c r="AB282" s="565"/>
      <c r="AC282" s="154"/>
      <c r="AD282" s="147"/>
      <c r="AE282" s="147"/>
      <c r="AF282" s="148"/>
      <c r="AI282" s="109" t="str">
        <f>"74:eiyomana_code:" &amp; IF(I282="■",1,IF(L282="■",2,0))</f>
        <v>74:eiyomana_code:0</v>
      </c>
    </row>
    <row r="283" spans="1:37" ht="18.75" customHeight="1" x14ac:dyDescent="0.2">
      <c r="A283" s="139"/>
      <c r="B283" s="123"/>
      <c r="C283" s="237"/>
      <c r="D283" s="142"/>
      <c r="E283" s="128"/>
      <c r="F283" s="142"/>
      <c r="G283" s="270"/>
      <c r="H283" s="461" t="s">
        <v>205</v>
      </c>
      <c r="I283" s="349" t="s">
        <v>383</v>
      </c>
      <c r="J283" s="350" t="s">
        <v>250</v>
      </c>
      <c r="K283" s="351"/>
      <c r="L283" s="353" t="s">
        <v>383</v>
      </c>
      <c r="M283" s="350" t="s">
        <v>267</v>
      </c>
      <c r="N283" s="531"/>
      <c r="O283" s="531"/>
      <c r="P283" s="531"/>
      <c r="Q283" s="531"/>
      <c r="R283" s="531"/>
      <c r="S283" s="531"/>
      <c r="T283" s="531"/>
      <c r="U283" s="531"/>
      <c r="V283" s="531"/>
      <c r="W283" s="531"/>
      <c r="X283" s="440"/>
      <c r="Y283" s="444"/>
      <c r="Z283" s="445"/>
      <c r="AA283" s="445"/>
      <c r="AB283" s="565"/>
      <c r="AC283" s="154"/>
      <c r="AD283" s="147"/>
      <c r="AE283" s="147"/>
      <c r="AF283" s="148"/>
      <c r="AI283" s="109" t="str">
        <f>"74:koukoukino_code:" &amp; IF(I283="■",1,IF(L283="■",2,0))</f>
        <v>74:koukoukino_code:0</v>
      </c>
    </row>
    <row r="284" spans="1:37" ht="18.75" customHeight="1" x14ac:dyDescent="0.2">
      <c r="A284" s="139"/>
      <c r="B284" s="123"/>
      <c r="C284" s="237"/>
      <c r="D284" s="142"/>
      <c r="E284" s="128"/>
      <c r="F284" s="142"/>
      <c r="G284" s="270"/>
      <c r="H284" s="461" t="s">
        <v>197</v>
      </c>
      <c r="I284" s="349" t="s">
        <v>383</v>
      </c>
      <c r="J284" s="350" t="s">
        <v>250</v>
      </c>
      <c r="K284" s="351"/>
      <c r="L284" s="353" t="s">
        <v>383</v>
      </c>
      <c r="M284" s="350" t="s">
        <v>267</v>
      </c>
      <c r="N284" s="531"/>
      <c r="O284" s="531"/>
      <c r="P284" s="531"/>
      <c r="Q284" s="531"/>
      <c r="R284" s="531"/>
      <c r="S284" s="531"/>
      <c r="T284" s="531"/>
      <c r="U284" s="531"/>
      <c r="V284" s="531"/>
      <c r="W284" s="531"/>
      <c r="X284" s="440"/>
      <c r="Y284" s="444"/>
      <c r="Z284" s="445"/>
      <c r="AA284" s="445"/>
      <c r="AB284" s="565"/>
      <c r="AC284" s="154"/>
      <c r="AD284" s="147"/>
      <c r="AE284" s="147"/>
      <c r="AF284" s="148"/>
      <c r="AI284" s="109" t="str">
        <f>"74:field212:" &amp; IF(I284="■",1,IF(L284="■",2,0))</f>
        <v>74:field212:0</v>
      </c>
    </row>
    <row r="285" spans="1:37" ht="19.2" customHeight="1" x14ac:dyDescent="0.2">
      <c r="A285" s="139"/>
      <c r="B285" s="123"/>
      <c r="C285" s="237"/>
      <c r="D285" s="142"/>
      <c r="E285" s="128"/>
      <c r="F285" s="142"/>
      <c r="G285" s="270"/>
      <c r="H285" s="508" t="s">
        <v>118</v>
      </c>
      <c r="I285" s="349" t="s">
        <v>383</v>
      </c>
      <c r="J285" s="350" t="s">
        <v>250</v>
      </c>
      <c r="K285" s="350"/>
      <c r="L285" s="353" t="s">
        <v>383</v>
      </c>
      <c r="M285" s="350" t="s">
        <v>295</v>
      </c>
      <c r="N285" s="350"/>
      <c r="O285" s="353" t="s">
        <v>383</v>
      </c>
      <c r="P285" s="350" t="s">
        <v>277</v>
      </c>
      <c r="Q285" s="531"/>
      <c r="R285" s="353" t="s">
        <v>383</v>
      </c>
      <c r="S285" s="350" t="s">
        <v>296</v>
      </c>
      <c r="T285" s="531"/>
      <c r="U285" s="531"/>
      <c r="V285" s="531"/>
      <c r="W285" s="531"/>
      <c r="X285" s="440"/>
      <c r="Y285" s="444"/>
      <c r="Z285" s="445"/>
      <c r="AA285" s="445"/>
      <c r="AB285" s="565"/>
      <c r="AC285" s="154"/>
      <c r="AD285" s="147"/>
      <c r="AE285" s="147"/>
      <c r="AF285" s="148"/>
      <c r="AI285" s="109" t="str">
        <f>"74:serteikyo_kyoka_code:" &amp; IF(I285="■",1,IF(L285="■",5,IF(O285="■",4,IF(R285="■",6,0))))</f>
        <v>74:serteikyo_kyoka_code:0</v>
      </c>
    </row>
    <row r="286" spans="1:37" s="621" customFormat="1" ht="20.399999999999999" customHeight="1" x14ac:dyDescent="0.2">
      <c r="A286" s="139"/>
      <c r="B286" s="670"/>
      <c r="C286" s="140"/>
      <c r="D286" s="141"/>
      <c r="E286" s="128"/>
      <c r="F286" s="142"/>
      <c r="G286" s="143"/>
      <c r="H286" s="713" t="s">
        <v>790</v>
      </c>
      <c r="I286" s="642" t="s">
        <v>383</v>
      </c>
      <c r="J286" s="616" t="s">
        <v>627</v>
      </c>
      <c r="K286" s="616"/>
      <c r="L286" s="615"/>
      <c r="M286" s="644" t="s">
        <v>383</v>
      </c>
      <c r="N286" s="616" t="s">
        <v>791</v>
      </c>
      <c r="O286" s="617"/>
      <c r="P286" s="615"/>
      <c r="Q286" s="644" t="s">
        <v>383</v>
      </c>
      <c r="R286" s="618" t="s">
        <v>792</v>
      </c>
      <c r="S286" s="615"/>
      <c r="T286" s="615"/>
      <c r="U286" s="615"/>
      <c r="V286" s="618"/>
      <c r="W286" s="619"/>
      <c r="X286" s="620"/>
      <c r="Y286" s="154"/>
      <c r="Z286" s="147"/>
      <c r="AA286" s="147"/>
      <c r="AB286" s="148"/>
      <c r="AC286" s="154"/>
      <c r="AD286" s="147"/>
      <c r="AE286" s="147"/>
      <c r="AF286" s="148"/>
    </row>
    <row r="287" spans="1:37" s="621" customFormat="1" ht="18.75" customHeight="1" x14ac:dyDescent="0.2">
      <c r="A287" s="183"/>
      <c r="B287" s="658"/>
      <c r="C287" s="185"/>
      <c r="D287" s="186"/>
      <c r="E287" s="187"/>
      <c r="F287" s="188"/>
      <c r="G287" s="189"/>
      <c r="H287" s="714"/>
      <c r="I287" s="643" t="s">
        <v>383</v>
      </c>
      <c r="J287" s="623" t="s">
        <v>793</v>
      </c>
      <c r="K287" s="623"/>
      <c r="L287" s="622"/>
      <c r="M287" s="211" t="s">
        <v>383</v>
      </c>
      <c r="N287" s="623" t="s">
        <v>794</v>
      </c>
      <c r="O287" s="624"/>
      <c r="P287" s="622"/>
      <c r="Q287" s="211" t="s">
        <v>383</v>
      </c>
      <c r="R287" s="623" t="s">
        <v>795</v>
      </c>
      <c r="S287" s="622"/>
      <c r="T287" s="623"/>
      <c r="U287" s="211" t="s">
        <v>383</v>
      </c>
      <c r="V287" s="623" t="s">
        <v>796</v>
      </c>
      <c r="W287" s="625"/>
      <c r="X287" s="626"/>
      <c r="Y287" s="194"/>
      <c r="Z287" s="147"/>
      <c r="AA287" s="147"/>
      <c r="AB287" s="148"/>
      <c r="AC287" s="194"/>
      <c r="AD287" s="147"/>
      <c r="AE287" s="147"/>
      <c r="AF287" s="148"/>
    </row>
    <row r="288" spans="1:37" ht="18.75" customHeight="1" x14ac:dyDescent="0.2">
      <c r="A288" s="129"/>
      <c r="B288" s="116"/>
      <c r="C288" s="233"/>
      <c r="D288" s="132"/>
      <c r="E288" s="121"/>
      <c r="F288" s="132"/>
      <c r="G288" s="136"/>
      <c r="H288" s="559" t="s">
        <v>546</v>
      </c>
      <c r="I288" s="367" t="s">
        <v>383</v>
      </c>
      <c r="J288" s="368" t="s">
        <v>250</v>
      </c>
      <c r="K288" s="368"/>
      <c r="L288" s="370"/>
      <c r="M288" s="371" t="s">
        <v>383</v>
      </c>
      <c r="N288" s="368" t="s">
        <v>281</v>
      </c>
      <c r="O288" s="368"/>
      <c r="P288" s="370"/>
      <c r="Q288" s="371" t="s">
        <v>383</v>
      </c>
      <c r="R288" s="457" t="s">
        <v>282</v>
      </c>
      <c r="S288" s="457"/>
      <c r="T288" s="457"/>
      <c r="U288" s="457"/>
      <c r="V288" s="457"/>
      <c r="W288" s="457"/>
      <c r="X288" s="560"/>
      <c r="Y288" s="412" t="s">
        <v>383</v>
      </c>
      <c r="Z288" s="413" t="s">
        <v>249</v>
      </c>
      <c r="AA288" s="413"/>
      <c r="AB288" s="564"/>
      <c r="AC288" s="138" t="s">
        <v>383</v>
      </c>
      <c r="AD288" s="119" t="s">
        <v>249</v>
      </c>
      <c r="AE288" s="119"/>
      <c r="AF288" s="137"/>
      <c r="AG288" s="109" t="str">
        <f>"ser_code = '" &amp; IF(A293="■",75,"") &amp; "'"</f>
        <v>ser_code = ''</v>
      </c>
      <c r="AH288" s="109"/>
      <c r="AI288" s="109" t="str">
        <f>"75:"&amp;IF(AND(I288="□",M288="□",Q288="□"),"ketu_kangos_code:0",IF(I288="■","ketu_kangos_code:1:ketu_kshoku_code:1",IF(M288="■","ketu_kangos_code:2","ketu_kangos_code:1")&amp;IF(Q288="■",":ketu_kshoku_code:2",":ketu_kshoku_code:1")))</f>
        <v>75:ketu_kangos_code:0</v>
      </c>
      <c r="AJ288" s="109" t="str">
        <f>"75:field203:" &amp; IF(Y288="■",1,IF(Y289="■",2,0))</f>
        <v>75:field203:0</v>
      </c>
      <c r="AK288" s="109" t="str">
        <f>"75:waribiki_code:" &amp; IF(AC288="■",1,IF(AC289="■",2,0))</f>
        <v>75:waribiki_code:0</v>
      </c>
    </row>
    <row r="289" spans="1:37" ht="18.75" customHeight="1" x14ac:dyDescent="0.2">
      <c r="A289" s="139"/>
      <c r="B289" s="123"/>
      <c r="C289" s="237"/>
      <c r="D289" s="142"/>
      <c r="E289" s="128"/>
      <c r="F289" s="260"/>
      <c r="G289" s="270"/>
      <c r="H289" s="458" t="s">
        <v>185</v>
      </c>
      <c r="I289" s="349" t="s">
        <v>383</v>
      </c>
      <c r="J289" s="350" t="s">
        <v>395</v>
      </c>
      <c r="K289" s="351"/>
      <c r="L289" s="352"/>
      <c r="M289" s="353" t="s">
        <v>383</v>
      </c>
      <c r="N289" s="350" t="s">
        <v>396</v>
      </c>
      <c r="O289" s="355"/>
      <c r="P289" s="355"/>
      <c r="Q289" s="351"/>
      <c r="R289" s="351"/>
      <c r="S289" s="351"/>
      <c r="T289" s="351"/>
      <c r="U289" s="351"/>
      <c r="V289" s="351"/>
      <c r="W289" s="351"/>
      <c r="X289" s="365"/>
      <c r="Y289" s="538" t="s">
        <v>383</v>
      </c>
      <c r="Z289" s="409" t="s">
        <v>255</v>
      </c>
      <c r="AA289" s="445"/>
      <c r="AB289" s="565"/>
      <c r="AC289" s="125" t="s">
        <v>383</v>
      </c>
      <c r="AD289" s="126" t="s">
        <v>255</v>
      </c>
      <c r="AE289" s="147"/>
      <c r="AF289" s="148"/>
      <c r="AG289" s="109" t="str">
        <f>"75:sisetukbn_code:" &amp; IF(D293="■",1,IF(D294="■",2,0))</f>
        <v>75:sisetukbn_code:0</v>
      </c>
      <c r="AI289" s="109" t="str">
        <f>"75:sintaikousoku_code:" &amp; IF(I289="■",1,IF(M289="■",2,0))</f>
        <v>75:sintaikousoku_code:0</v>
      </c>
    </row>
    <row r="290" spans="1:37" ht="19.5" customHeight="1" x14ac:dyDescent="0.2">
      <c r="A290" s="139"/>
      <c r="B290" s="123"/>
      <c r="C290" s="140"/>
      <c r="D290" s="142"/>
      <c r="E290" s="128"/>
      <c r="F290" s="142"/>
      <c r="G290" s="143"/>
      <c r="H290" s="348" t="s">
        <v>430</v>
      </c>
      <c r="I290" s="349" t="s">
        <v>383</v>
      </c>
      <c r="J290" s="350" t="s">
        <v>395</v>
      </c>
      <c r="K290" s="351"/>
      <c r="L290" s="352"/>
      <c r="M290" s="353" t="s">
        <v>383</v>
      </c>
      <c r="N290" s="350" t="s">
        <v>431</v>
      </c>
      <c r="O290" s="354"/>
      <c r="P290" s="350"/>
      <c r="Q290" s="355"/>
      <c r="R290" s="355"/>
      <c r="S290" s="355"/>
      <c r="T290" s="355"/>
      <c r="U290" s="355"/>
      <c r="V290" s="355"/>
      <c r="W290" s="355"/>
      <c r="X290" s="356"/>
      <c r="Y290" s="444"/>
      <c r="Z290" s="409"/>
      <c r="AA290" s="445"/>
      <c r="AB290" s="565"/>
      <c r="AC290" s="154"/>
      <c r="AD290" s="126"/>
      <c r="AE290" s="147"/>
      <c r="AF290" s="148"/>
      <c r="AG290" s="109"/>
      <c r="AI290" s="109" t="str">
        <f>"75:field223:" &amp; IF(I290="■",1,IF(M290="■",2,0))</f>
        <v>75:field223:0</v>
      </c>
    </row>
    <row r="291" spans="1:37" ht="19.5" customHeight="1" x14ac:dyDescent="0.2">
      <c r="A291" s="139"/>
      <c r="B291" s="123"/>
      <c r="C291" s="140"/>
      <c r="D291" s="142"/>
      <c r="E291" s="128"/>
      <c r="F291" s="142"/>
      <c r="G291" s="143"/>
      <c r="H291" s="348" t="s">
        <v>448</v>
      </c>
      <c r="I291" s="349" t="s">
        <v>383</v>
      </c>
      <c r="J291" s="350" t="s">
        <v>395</v>
      </c>
      <c r="K291" s="351"/>
      <c r="L291" s="352"/>
      <c r="M291" s="353" t="s">
        <v>383</v>
      </c>
      <c r="N291" s="350" t="s">
        <v>431</v>
      </c>
      <c r="O291" s="354"/>
      <c r="P291" s="350"/>
      <c r="Q291" s="355"/>
      <c r="R291" s="355"/>
      <c r="S291" s="355"/>
      <c r="T291" s="355"/>
      <c r="U291" s="355"/>
      <c r="V291" s="355"/>
      <c r="W291" s="355"/>
      <c r="X291" s="356"/>
      <c r="Y291" s="444"/>
      <c r="Z291" s="409"/>
      <c r="AA291" s="445"/>
      <c r="AB291" s="565"/>
      <c r="AC291" s="154"/>
      <c r="AD291" s="126"/>
      <c r="AE291" s="147"/>
      <c r="AF291" s="148"/>
      <c r="AI291" s="109" t="str">
        <f>"75:field232:" &amp; IF(I291="■",1,IF(M291="■",2,0))</f>
        <v>75:field232:0</v>
      </c>
    </row>
    <row r="292" spans="1:37" ht="18.75" customHeight="1" x14ac:dyDescent="0.2">
      <c r="A292" s="139"/>
      <c r="B292" s="123"/>
      <c r="C292" s="237"/>
      <c r="D292" s="142"/>
      <c r="E292" s="128"/>
      <c r="F292" s="142"/>
      <c r="G292" s="270"/>
      <c r="H292" s="508" t="s">
        <v>137</v>
      </c>
      <c r="I292" s="349" t="s">
        <v>781</v>
      </c>
      <c r="J292" s="350" t="s">
        <v>250</v>
      </c>
      <c r="K292" s="351"/>
      <c r="L292" s="353" t="s">
        <v>383</v>
      </c>
      <c r="M292" s="350" t="s">
        <v>267</v>
      </c>
      <c r="N292" s="531"/>
      <c r="O292" s="531"/>
      <c r="P292" s="531"/>
      <c r="Q292" s="531"/>
      <c r="R292" s="531"/>
      <c r="S292" s="531"/>
      <c r="T292" s="531"/>
      <c r="U292" s="531"/>
      <c r="V292" s="531"/>
      <c r="W292" s="531"/>
      <c r="X292" s="440"/>
      <c r="Y292" s="444"/>
      <c r="Z292" s="445"/>
      <c r="AA292" s="445"/>
      <c r="AB292" s="565"/>
      <c r="AC292" s="154"/>
      <c r="AD292" s="147"/>
      <c r="AE292" s="147"/>
      <c r="AF292" s="148"/>
      <c r="AI292" s="109" t="str">
        <f>"75:tokutiiki_code:" &amp; IF(I292="■",1,IF(L292="■",2,0))</f>
        <v>75:tokutiiki_code:1</v>
      </c>
    </row>
    <row r="293" spans="1:37" ht="18.75" customHeight="1" x14ac:dyDescent="0.2">
      <c r="A293" s="125" t="s">
        <v>383</v>
      </c>
      <c r="B293" s="123">
        <v>75</v>
      </c>
      <c r="C293" s="237" t="s">
        <v>600</v>
      </c>
      <c r="D293" s="125" t="s">
        <v>383</v>
      </c>
      <c r="E293" s="128" t="s">
        <v>601</v>
      </c>
      <c r="F293" s="142"/>
      <c r="G293" s="270"/>
      <c r="H293" s="743" t="s">
        <v>478</v>
      </c>
      <c r="I293" s="797" t="s">
        <v>781</v>
      </c>
      <c r="J293" s="796" t="s">
        <v>256</v>
      </c>
      <c r="K293" s="796"/>
      <c r="L293" s="796"/>
      <c r="M293" s="797" t="s">
        <v>383</v>
      </c>
      <c r="N293" s="796" t="s">
        <v>257</v>
      </c>
      <c r="O293" s="796"/>
      <c r="P293" s="796"/>
      <c r="Q293" s="438"/>
      <c r="R293" s="438"/>
      <c r="S293" s="438"/>
      <c r="T293" s="438"/>
      <c r="U293" s="438"/>
      <c r="V293" s="438"/>
      <c r="W293" s="438"/>
      <c r="X293" s="507"/>
      <c r="Y293" s="444"/>
      <c r="Z293" s="445"/>
      <c r="AA293" s="445"/>
      <c r="AB293" s="565"/>
      <c r="AC293" s="154"/>
      <c r="AD293" s="147"/>
      <c r="AE293" s="147"/>
      <c r="AF293" s="148"/>
      <c r="AI293" s="109" t="str">
        <f>"75:chuusankanti_tiiki_code:" &amp; IF(I293="■",1,IF(M293="■",2,0))</f>
        <v>75:chuusankanti_tiiki_code:1</v>
      </c>
    </row>
    <row r="294" spans="1:37" ht="18.75" customHeight="1" x14ac:dyDescent="0.2">
      <c r="A294" s="139"/>
      <c r="B294" s="123"/>
      <c r="C294" s="237" t="s">
        <v>602</v>
      </c>
      <c r="D294" s="125" t="s">
        <v>383</v>
      </c>
      <c r="E294" s="128" t="s">
        <v>603</v>
      </c>
      <c r="F294" s="142"/>
      <c r="G294" s="270"/>
      <c r="H294" s="744"/>
      <c r="I294" s="793"/>
      <c r="J294" s="795"/>
      <c r="K294" s="795"/>
      <c r="L294" s="795"/>
      <c r="M294" s="793"/>
      <c r="N294" s="795"/>
      <c r="O294" s="795"/>
      <c r="P294" s="795"/>
      <c r="Q294" s="436"/>
      <c r="R294" s="436"/>
      <c r="S294" s="436"/>
      <c r="T294" s="436"/>
      <c r="U294" s="436"/>
      <c r="V294" s="436"/>
      <c r="W294" s="436"/>
      <c r="X294" s="437"/>
      <c r="Y294" s="444"/>
      <c r="Z294" s="445"/>
      <c r="AA294" s="445"/>
      <c r="AB294" s="565"/>
      <c r="AC294" s="154"/>
      <c r="AD294" s="147"/>
      <c r="AE294" s="147"/>
      <c r="AF294" s="148"/>
    </row>
    <row r="295" spans="1:37" ht="18.75" customHeight="1" x14ac:dyDescent="0.2">
      <c r="A295" s="139"/>
      <c r="B295" s="123"/>
      <c r="C295" s="140"/>
      <c r="D295" s="141"/>
      <c r="E295" s="128" t="s">
        <v>551</v>
      </c>
      <c r="F295" s="142"/>
      <c r="G295" s="270"/>
      <c r="H295" s="508" t="s">
        <v>550</v>
      </c>
      <c r="I295" s="349" t="s">
        <v>383</v>
      </c>
      <c r="J295" s="350" t="s">
        <v>250</v>
      </c>
      <c r="K295" s="351"/>
      <c r="L295" s="353" t="s">
        <v>383</v>
      </c>
      <c r="M295" s="350" t="s">
        <v>267</v>
      </c>
      <c r="N295" s="531"/>
      <c r="O295" s="531"/>
      <c r="P295" s="531"/>
      <c r="Q295" s="531"/>
      <c r="R295" s="531"/>
      <c r="S295" s="531"/>
      <c r="T295" s="531"/>
      <c r="U295" s="531"/>
      <c r="V295" s="531"/>
      <c r="W295" s="531"/>
      <c r="X295" s="440"/>
      <c r="Y295" s="444"/>
      <c r="Z295" s="445"/>
      <c r="AA295" s="445"/>
      <c r="AB295" s="565"/>
      <c r="AC295" s="154"/>
      <c r="AD295" s="147"/>
      <c r="AE295" s="147"/>
      <c r="AF295" s="148"/>
      <c r="AI295" s="109" t="str">
        <f>"75:jyakuninti_uke_code:" &amp; IF(I295="■",1,IF(L295="■",2,0))</f>
        <v>75:jyakuninti_uke_code:0</v>
      </c>
    </row>
    <row r="296" spans="1:37" ht="18.75" customHeight="1" x14ac:dyDescent="0.2">
      <c r="A296" s="141"/>
      <c r="B296" s="178"/>
      <c r="C296" s="124"/>
      <c r="F296" s="142"/>
      <c r="G296" s="270"/>
      <c r="H296" s="508" t="s">
        <v>522</v>
      </c>
      <c r="I296" s="349" t="s">
        <v>383</v>
      </c>
      <c r="J296" s="350" t="s">
        <v>250</v>
      </c>
      <c r="K296" s="351"/>
      <c r="L296" s="353" t="s">
        <v>383</v>
      </c>
      <c r="M296" s="350" t="s">
        <v>268</v>
      </c>
      <c r="N296" s="350"/>
      <c r="O296" s="561" t="s">
        <v>383</v>
      </c>
      <c r="P296" s="375" t="s">
        <v>269</v>
      </c>
      <c r="Q296" s="350"/>
      <c r="R296" s="350"/>
      <c r="S296" s="351"/>
      <c r="T296" s="350"/>
      <c r="U296" s="351"/>
      <c r="V296" s="351"/>
      <c r="W296" s="351"/>
      <c r="X296" s="365"/>
      <c r="Y296" s="444"/>
      <c r="Z296" s="445"/>
      <c r="AA296" s="445"/>
      <c r="AB296" s="565"/>
      <c r="AC296" s="154"/>
      <c r="AD296" s="147"/>
      <c r="AE296" s="147"/>
      <c r="AF296" s="148"/>
      <c r="AI296" s="109" t="str">
        <f>"75:field168:" &amp; IF(I296="■",1,IF(L296="■",3,IF(O296="■",2,0)))</f>
        <v>75:field168:0</v>
      </c>
    </row>
    <row r="297" spans="1:37" ht="18.75" customHeight="1" x14ac:dyDescent="0.2">
      <c r="A297" s="141"/>
      <c r="B297" s="178"/>
      <c r="C297" s="124"/>
      <c r="F297" s="142"/>
      <c r="G297" s="270"/>
      <c r="H297" s="461" t="s">
        <v>197</v>
      </c>
      <c r="I297" s="349" t="s">
        <v>383</v>
      </c>
      <c r="J297" s="350" t="s">
        <v>250</v>
      </c>
      <c r="K297" s="351"/>
      <c r="L297" s="353" t="s">
        <v>383</v>
      </c>
      <c r="M297" s="350" t="s">
        <v>267</v>
      </c>
      <c r="N297" s="531"/>
      <c r="O297" s="531"/>
      <c r="P297" s="531"/>
      <c r="Q297" s="531"/>
      <c r="R297" s="531"/>
      <c r="S297" s="531"/>
      <c r="T297" s="531"/>
      <c r="U297" s="531"/>
      <c r="V297" s="531"/>
      <c r="W297" s="531"/>
      <c r="X297" s="440"/>
      <c r="Y297" s="444"/>
      <c r="Z297" s="445"/>
      <c r="AA297" s="445"/>
      <c r="AB297" s="565"/>
      <c r="AC297" s="154"/>
      <c r="AD297" s="147"/>
      <c r="AE297" s="147"/>
      <c r="AF297" s="148"/>
      <c r="AI297" s="109" t="str">
        <f>"75:field212:" &amp; IF(I297="■",1,IF(L297="■",2,0))</f>
        <v>75:field212:0</v>
      </c>
    </row>
    <row r="298" spans="1:37" ht="18.75" customHeight="1" x14ac:dyDescent="0.2">
      <c r="A298" s="141"/>
      <c r="B298" s="178"/>
      <c r="C298" s="124"/>
      <c r="F298" s="142"/>
      <c r="G298" s="270"/>
      <c r="H298" s="435" t="s">
        <v>442</v>
      </c>
      <c r="I298" s="349" t="s">
        <v>383</v>
      </c>
      <c r="J298" s="350" t="s">
        <v>250</v>
      </c>
      <c r="K298" s="350"/>
      <c r="L298" s="353" t="s">
        <v>383</v>
      </c>
      <c r="M298" s="350" t="s">
        <v>251</v>
      </c>
      <c r="N298" s="350"/>
      <c r="O298" s="353" t="s">
        <v>383</v>
      </c>
      <c r="P298" s="350" t="s">
        <v>252</v>
      </c>
      <c r="Q298" s="355"/>
      <c r="R298" s="355"/>
      <c r="S298" s="355"/>
      <c r="T298" s="355"/>
      <c r="U298" s="410"/>
      <c r="V298" s="410"/>
      <c r="W298" s="410"/>
      <c r="X298" s="411"/>
      <c r="Y298" s="444"/>
      <c r="Z298" s="445"/>
      <c r="AA298" s="445"/>
      <c r="AB298" s="565"/>
      <c r="AC298" s="154"/>
      <c r="AD298" s="147"/>
      <c r="AE298" s="147"/>
      <c r="AF298" s="148"/>
      <c r="AI298" s="109" t="str">
        <f>"75:field225:" &amp; IF(I298="■",1,IF(L298="■",2,IF(O298="■",3,0)))</f>
        <v>75:field225:0</v>
      </c>
    </row>
    <row r="299" spans="1:37" ht="18.75" customHeight="1" x14ac:dyDescent="0.2">
      <c r="A299" s="141"/>
      <c r="B299" s="178"/>
      <c r="C299" s="124"/>
      <c r="F299" s="142"/>
      <c r="G299" s="270"/>
      <c r="H299" s="508" t="s">
        <v>118</v>
      </c>
      <c r="I299" s="349" t="s">
        <v>383</v>
      </c>
      <c r="J299" s="350" t="s">
        <v>250</v>
      </c>
      <c r="K299" s="350"/>
      <c r="L299" s="353" t="s">
        <v>383</v>
      </c>
      <c r="M299" s="350" t="s">
        <v>258</v>
      </c>
      <c r="N299" s="350"/>
      <c r="O299" s="353" t="s">
        <v>383</v>
      </c>
      <c r="P299" s="350" t="s">
        <v>259</v>
      </c>
      <c r="Q299" s="531"/>
      <c r="R299" s="353" t="s">
        <v>383</v>
      </c>
      <c r="S299" s="350" t="s">
        <v>283</v>
      </c>
      <c r="T299" s="531"/>
      <c r="U299" s="531"/>
      <c r="V299" s="531"/>
      <c r="W299" s="531"/>
      <c r="X299" s="440"/>
      <c r="Y299" s="444"/>
      <c r="Z299" s="445"/>
      <c r="AA299" s="445"/>
      <c r="AB299" s="565"/>
      <c r="AC299" s="154"/>
      <c r="AD299" s="147"/>
      <c r="AE299" s="147"/>
      <c r="AF299" s="148"/>
      <c r="AI299" s="109" t="str">
        <f>"75:serteikyo_kyoka_code:" &amp; IF(I299="■",1,IF(L299="■",6,IF(O299="■",5,IF(R299="■",7,0))))</f>
        <v>75:serteikyo_kyoka_code:0</v>
      </c>
    </row>
    <row r="300" spans="1:37" s="621" customFormat="1" ht="20.399999999999999" customHeight="1" x14ac:dyDescent="0.2">
      <c r="A300" s="139"/>
      <c r="B300" s="670"/>
      <c r="C300" s="140"/>
      <c r="D300" s="141"/>
      <c r="E300" s="128"/>
      <c r="F300" s="142"/>
      <c r="G300" s="143"/>
      <c r="H300" s="713" t="s">
        <v>790</v>
      </c>
      <c r="I300" s="642" t="s">
        <v>383</v>
      </c>
      <c r="J300" s="616" t="s">
        <v>627</v>
      </c>
      <c r="K300" s="616"/>
      <c r="L300" s="615"/>
      <c r="M300" s="644" t="s">
        <v>383</v>
      </c>
      <c r="N300" s="616" t="s">
        <v>791</v>
      </c>
      <c r="O300" s="617"/>
      <c r="P300" s="615"/>
      <c r="Q300" s="644" t="s">
        <v>383</v>
      </c>
      <c r="R300" s="618" t="s">
        <v>792</v>
      </c>
      <c r="S300" s="615"/>
      <c r="T300" s="615"/>
      <c r="U300" s="615"/>
      <c r="V300" s="618"/>
      <c r="W300" s="619"/>
      <c r="X300" s="620"/>
      <c r="Y300" s="154"/>
      <c r="Z300" s="147"/>
      <c r="AA300" s="147"/>
      <c r="AB300" s="148"/>
      <c r="AC300" s="154"/>
      <c r="AD300" s="147"/>
      <c r="AE300" s="147"/>
      <c r="AF300" s="148"/>
    </row>
    <row r="301" spans="1:37" s="621" customFormat="1" ht="18.75" customHeight="1" x14ac:dyDescent="0.2">
      <c r="A301" s="183"/>
      <c r="B301" s="658"/>
      <c r="C301" s="185"/>
      <c r="D301" s="186"/>
      <c r="E301" s="187"/>
      <c r="F301" s="188"/>
      <c r="G301" s="189"/>
      <c r="H301" s="714"/>
      <c r="I301" s="643" t="s">
        <v>383</v>
      </c>
      <c r="J301" s="623" t="s">
        <v>793</v>
      </c>
      <c r="K301" s="623"/>
      <c r="L301" s="622"/>
      <c r="M301" s="211" t="s">
        <v>383</v>
      </c>
      <c r="N301" s="623" t="s">
        <v>794</v>
      </c>
      <c r="O301" s="624"/>
      <c r="P301" s="622"/>
      <c r="Q301" s="211" t="s">
        <v>383</v>
      </c>
      <c r="R301" s="623" t="s">
        <v>795</v>
      </c>
      <c r="S301" s="622"/>
      <c r="T301" s="623"/>
      <c r="U301" s="211" t="s">
        <v>383</v>
      </c>
      <c r="V301" s="623" t="s">
        <v>796</v>
      </c>
      <c r="W301" s="625"/>
      <c r="X301" s="626"/>
      <c r="Y301" s="194"/>
      <c r="Z301" s="147"/>
      <c r="AA301" s="147"/>
      <c r="AB301" s="148"/>
      <c r="AC301" s="194"/>
      <c r="AD301" s="147"/>
      <c r="AE301" s="147"/>
      <c r="AF301" s="148"/>
    </row>
    <row r="302" spans="1:37" ht="18.75" customHeight="1" x14ac:dyDescent="0.2">
      <c r="A302" s="129"/>
      <c r="B302" s="116"/>
      <c r="C302" s="233"/>
      <c r="D302" s="132"/>
      <c r="E302" s="121"/>
      <c r="F302" s="132"/>
      <c r="G302" s="136"/>
      <c r="H302" s="559" t="s">
        <v>181</v>
      </c>
      <c r="I302" s="367" t="s">
        <v>383</v>
      </c>
      <c r="J302" s="368" t="s">
        <v>250</v>
      </c>
      <c r="K302" s="368"/>
      <c r="L302" s="370"/>
      <c r="M302" s="371" t="s">
        <v>383</v>
      </c>
      <c r="N302" s="368" t="s">
        <v>281</v>
      </c>
      <c r="O302" s="368"/>
      <c r="P302" s="370"/>
      <c r="Q302" s="371" t="s">
        <v>383</v>
      </c>
      <c r="R302" s="457" t="s">
        <v>282</v>
      </c>
      <c r="S302" s="457"/>
      <c r="T302" s="457"/>
      <c r="U302" s="457"/>
      <c r="V302" s="457"/>
      <c r="W302" s="457"/>
      <c r="X302" s="560"/>
      <c r="Y302" s="412" t="s">
        <v>383</v>
      </c>
      <c r="Z302" s="413" t="s">
        <v>249</v>
      </c>
      <c r="AA302" s="413"/>
      <c r="AB302" s="564"/>
      <c r="AC302" s="138" t="s">
        <v>383</v>
      </c>
      <c r="AD302" s="119" t="s">
        <v>249</v>
      </c>
      <c r="AE302" s="119"/>
      <c r="AF302" s="137"/>
      <c r="AG302" s="109" t="str">
        <f>"ser_code = '" &amp; IF(A305="■",69,"") &amp; "'"</f>
        <v>ser_code = ''</v>
      </c>
      <c r="AH302" s="109"/>
      <c r="AI302" s="109" t="str">
        <f>"69:"&amp;IF(AND(I302="□",M302="□",Q302="□"),"ketu_kangos_code:0",IF(I302="■","ketu_kangos_code:1:ketu_kshoku_code:1",IF(M302="■","ketu_kangos_code:2","ketu_kangos_code:1")&amp;IF(Q302="■",":ketu_kshoku_code:2",":ketu_kshoku_code:1")))</f>
        <v>69:ketu_kangos_code:0</v>
      </c>
      <c r="AJ302" s="109" t="str">
        <f>"69:field203:" &amp; IF(Y302="■",1,IF(Y303="■",2,0))</f>
        <v>69:field203:0</v>
      </c>
      <c r="AK302" s="109" t="str">
        <f>"69:waribiki_code:" &amp; IF(AC302="■",1,IF(AC303="■",2,0))</f>
        <v>69:waribiki_code:0</v>
      </c>
    </row>
    <row r="303" spans="1:37" ht="18.75" customHeight="1" x14ac:dyDescent="0.2">
      <c r="A303" s="139"/>
      <c r="B303" s="123"/>
      <c r="C303" s="237"/>
      <c r="D303" s="142"/>
      <c r="E303" s="128"/>
      <c r="F303" s="260"/>
      <c r="G303" s="270"/>
      <c r="H303" s="458" t="s">
        <v>185</v>
      </c>
      <c r="I303" s="349" t="s">
        <v>383</v>
      </c>
      <c r="J303" s="350" t="s">
        <v>395</v>
      </c>
      <c r="K303" s="351"/>
      <c r="L303" s="352"/>
      <c r="M303" s="353" t="s">
        <v>383</v>
      </c>
      <c r="N303" s="350" t="s">
        <v>396</v>
      </c>
      <c r="O303" s="355"/>
      <c r="P303" s="355"/>
      <c r="Q303" s="351"/>
      <c r="R303" s="351"/>
      <c r="S303" s="351"/>
      <c r="T303" s="351"/>
      <c r="U303" s="351"/>
      <c r="V303" s="351"/>
      <c r="W303" s="351"/>
      <c r="X303" s="365"/>
      <c r="Y303" s="538" t="s">
        <v>383</v>
      </c>
      <c r="Z303" s="409" t="s">
        <v>255</v>
      </c>
      <c r="AA303" s="445"/>
      <c r="AB303" s="565"/>
      <c r="AC303" s="125" t="s">
        <v>383</v>
      </c>
      <c r="AD303" s="126" t="s">
        <v>255</v>
      </c>
      <c r="AE303" s="147"/>
      <c r="AF303" s="148"/>
      <c r="AG303" s="109" t="str">
        <f>"69:sisetukbn_code:" &amp; IF(D305="■",1,IF(D306="■",2,0))</f>
        <v>69:sisetukbn_code:0</v>
      </c>
      <c r="AI303" s="109" t="str">
        <f>"69:sintaikousoku_code:" &amp; IF(I303="■",1,IF(M303="■",2,0))</f>
        <v>69:sintaikousoku_code:0</v>
      </c>
    </row>
    <row r="304" spans="1:37" ht="19.5" customHeight="1" x14ac:dyDescent="0.2">
      <c r="A304" s="139"/>
      <c r="B304" s="123"/>
      <c r="C304" s="237"/>
      <c r="D304" s="141"/>
      <c r="E304" s="128"/>
      <c r="F304" s="142"/>
      <c r="G304" s="143"/>
      <c r="H304" s="348" t="s">
        <v>430</v>
      </c>
      <c r="I304" s="349" t="s">
        <v>383</v>
      </c>
      <c r="J304" s="350" t="s">
        <v>395</v>
      </c>
      <c r="K304" s="351"/>
      <c r="L304" s="352"/>
      <c r="M304" s="353" t="s">
        <v>383</v>
      </c>
      <c r="N304" s="350" t="s">
        <v>431</v>
      </c>
      <c r="O304" s="354"/>
      <c r="P304" s="350"/>
      <c r="Q304" s="355"/>
      <c r="R304" s="355"/>
      <c r="S304" s="355"/>
      <c r="T304" s="355"/>
      <c r="U304" s="355"/>
      <c r="V304" s="355"/>
      <c r="W304" s="355"/>
      <c r="X304" s="356"/>
      <c r="Y304" s="444"/>
      <c r="Z304" s="409"/>
      <c r="AA304" s="445"/>
      <c r="AB304" s="565"/>
      <c r="AC304" s="154"/>
      <c r="AD304" s="126"/>
      <c r="AE304" s="147"/>
      <c r="AF304" s="148"/>
      <c r="AG304" s="109"/>
      <c r="AI304" s="109" t="str">
        <f>"69:field223:" &amp; IF(I304="■",1,IF(M304="■",2,0))</f>
        <v>69:field223:0</v>
      </c>
    </row>
    <row r="305" spans="1:37" ht="19.5" customHeight="1" x14ac:dyDescent="0.2">
      <c r="A305" s="125" t="s">
        <v>383</v>
      </c>
      <c r="B305" s="123">
        <v>69</v>
      </c>
      <c r="C305" s="237" t="s">
        <v>604</v>
      </c>
      <c r="D305" s="118" t="s">
        <v>383</v>
      </c>
      <c r="E305" s="128" t="s">
        <v>601</v>
      </c>
      <c r="F305" s="142"/>
      <c r="G305" s="143"/>
      <c r="H305" s="348" t="s">
        <v>448</v>
      </c>
      <c r="I305" s="349" t="s">
        <v>383</v>
      </c>
      <c r="J305" s="350" t="s">
        <v>395</v>
      </c>
      <c r="K305" s="351"/>
      <c r="L305" s="352"/>
      <c r="M305" s="353" t="s">
        <v>383</v>
      </c>
      <c r="N305" s="350" t="s">
        <v>431</v>
      </c>
      <c r="O305" s="354"/>
      <c r="P305" s="350"/>
      <c r="Q305" s="355"/>
      <c r="R305" s="355"/>
      <c r="S305" s="355"/>
      <c r="T305" s="355"/>
      <c r="U305" s="355"/>
      <c r="V305" s="355"/>
      <c r="W305" s="355"/>
      <c r="X305" s="356"/>
      <c r="Y305" s="444"/>
      <c r="Z305" s="409"/>
      <c r="AA305" s="445"/>
      <c r="AB305" s="565"/>
      <c r="AC305" s="154"/>
      <c r="AD305" s="126"/>
      <c r="AE305" s="147"/>
      <c r="AF305" s="148"/>
      <c r="AI305" s="109" t="str">
        <f>"69:field232:" &amp; IF(I305="■",1,IF(M305="■",2,0))</f>
        <v>69:field232:0</v>
      </c>
    </row>
    <row r="306" spans="1:37" ht="18.75" customHeight="1" x14ac:dyDescent="0.2">
      <c r="A306" s="141"/>
      <c r="B306" s="108"/>
      <c r="C306" s="237" t="s">
        <v>602</v>
      </c>
      <c r="D306" s="125" t="s">
        <v>383</v>
      </c>
      <c r="E306" s="128" t="s">
        <v>603</v>
      </c>
      <c r="F306" s="142"/>
      <c r="G306" s="270"/>
      <c r="H306" s="743" t="s">
        <v>478</v>
      </c>
      <c r="I306" s="797" t="s">
        <v>781</v>
      </c>
      <c r="J306" s="796" t="s">
        <v>256</v>
      </c>
      <c r="K306" s="796"/>
      <c r="L306" s="796"/>
      <c r="M306" s="797" t="s">
        <v>383</v>
      </c>
      <c r="N306" s="796" t="s">
        <v>257</v>
      </c>
      <c r="O306" s="796"/>
      <c r="P306" s="796"/>
      <c r="Q306" s="438"/>
      <c r="R306" s="438"/>
      <c r="S306" s="438"/>
      <c r="T306" s="438"/>
      <c r="U306" s="438"/>
      <c r="V306" s="438"/>
      <c r="W306" s="438"/>
      <c r="X306" s="507"/>
      <c r="Y306" s="444"/>
      <c r="Z306" s="445"/>
      <c r="AA306" s="445"/>
      <c r="AB306" s="565"/>
      <c r="AC306" s="154"/>
      <c r="AD306" s="147"/>
      <c r="AE306" s="147"/>
      <c r="AF306" s="148"/>
      <c r="AI306" s="109" t="str">
        <f>"69:chuusankanti_tiiki_code:" &amp; IF(I306="■",1,IF(M306="■",2,0))</f>
        <v>69:chuusankanti_tiiki_code:1</v>
      </c>
    </row>
    <row r="307" spans="1:37" ht="18.75" customHeight="1" x14ac:dyDescent="0.2">
      <c r="A307" s="139"/>
      <c r="B307" s="123"/>
      <c r="C307" s="237" t="s">
        <v>556</v>
      </c>
      <c r="D307" s="142"/>
      <c r="E307" s="128" t="s">
        <v>551</v>
      </c>
      <c r="F307" s="142"/>
      <c r="G307" s="270"/>
      <c r="H307" s="744"/>
      <c r="I307" s="793"/>
      <c r="J307" s="795"/>
      <c r="K307" s="795"/>
      <c r="L307" s="795"/>
      <c r="M307" s="793"/>
      <c r="N307" s="795"/>
      <c r="O307" s="795"/>
      <c r="P307" s="795"/>
      <c r="Q307" s="436"/>
      <c r="R307" s="436"/>
      <c r="S307" s="436"/>
      <c r="T307" s="436"/>
      <c r="U307" s="436"/>
      <c r="V307" s="436"/>
      <c r="W307" s="436"/>
      <c r="X307" s="437"/>
      <c r="Y307" s="444"/>
      <c r="Z307" s="445"/>
      <c r="AA307" s="445"/>
      <c r="AB307" s="565"/>
      <c r="AC307" s="154"/>
      <c r="AD307" s="147"/>
      <c r="AE307" s="147"/>
      <c r="AF307" s="148"/>
    </row>
    <row r="308" spans="1:37" ht="18.75" customHeight="1" x14ac:dyDescent="0.2">
      <c r="A308" s="141"/>
      <c r="B308" s="108"/>
      <c r="C308" s="237"/>
      <c r="D308" s="142"/>
      <c r="E308" s="128"/>
      <c r="F308" s="142"/>
      <c r="G308" s="270"/>
      <c r="H308" s="435" t="s">
        <v>442</v>
      </c>
      <c r="I308" s="349" t="s">
        <v>383</v>
      </c>
      <c r="J308" s="350" t="s">
        <v>250</v>
      </c>
      <c r="K308" s="350"/>
      <c r="L308" s="353" t="s">
        <v>383</v>
      </c>
      <c r="M308" s="350" t="s">
        <v>251</v>
      </c>
      <c r="N308" s="350"/>
      <c r="O308" s="353" t="s">
        <v>383</v>
      </c>
      <c r="P308" s="350" t="s">
        <v>252</v>
      </c>
      <c r="Q308" s="355"/>
      <c r="R308" s="355"/>
      <c r="S308" s="355"/>
      <c r="T308" s="355"/>
      <c r="U308" s="410"/>
      <c r="V308" s="410"/>
      <c r="W308" s="410"/>
      <c r="X308" s="411"/>
      <c r="Y308" s="444"/>
      <c r="Z308" s="445"/>
      <c r="AA308" s="445"/>
      <c r="AB308" s="565"/>
      <c r="AC308" s="154"/>
      <c r="AD308" s="147"/>
      <c r="AE308" s="147"/>
      <c r="AF308" s="148"/>
      <c r="AI308" s="109" t="str">
        <f>"69:field225:" &amp; IF(I308="■",1,IF(L308="■",2,IF(O308="■",3,0)))</f>
        <v>69:field225:0</v>
      </c>
    </row>
    <row r="309" spans="1:37" ht="18.75" customHeight="1" x14ac:dyDescent="0.2">
      <c r="A309" s="139"/>
      <c r="B309" s="123"/>
      <c r="C309" s="237"/>
      <c r="D309" s="142"/>
      <c r="E309" s="128"/>
      <c r="F309" s="142"/>
      <c r="G309" s="270"/>
      <c r="H309" s="508" t="s">
        <v>118</v>
      </c>
      <c r="I309" s="349" t="s">
        <v>383</v>
      </c>
      <c r="J309" s="350" t="s">
        <v>250</v>
      </c>
      <c r="K309" s="350"/>
      <c r="L309" s="353" t="s">
        <v>383</v>
      </c>
      <c r="M309" s="350" t="s">
        <v>258</v>
      </c>
      <c r="N309" s="350"/>
      <c r="O309" s="353" t="s">
        <v>383</v>
      </c>
      <c r="P309" s="350" t="s">
        <v>259</v>
      </c>
      <c r="Q309" s="531"/>
      <c r="R309" s="353" t="s">
        <v>383</v>
      </c>
      <c r="S309" s="350" t="s">
        <v>283</v>
      </c>
      <c r="T309" s="531"/>
      <c r="U309" s="531"/>
      <c r="V309" s="531"/>
      <c r="W309" s="531"/>
      <c r="X309" s="440"/>
      <c r="Y309" s="444"/>
      <c r="Z309" s="445"/>
      <c r="AA309" s="445"/>
      <c r="AB309" s="565"/>
      <c r="AC309" s="154"/>
      <c r="AD309" s="147"/>
      <c r="AE309" s="147"/>
      <c r="AF309" s="148"/>
      <c r="AI309" s="109" t="str">
        <f>"69:serteikyo_kyoka_code:" &amp; IF(I309="■",1,IF(L309="■",6,IF(O309="■",5,IF(R309="■",7,0))))</f>
        <v>69:serteikyo_kyoka_code:0</v>
      </c>
    </row>
    <row r="310" spans="1:37" s="621" customFormat="1" ht="20.399999999999999" customHeight="1" x14ac:dyDescent="0.2">
      <c r="A310" s="139"/>
      <c r="B310" s="670"/>
      <c r="C310" s="140"/>
      <c r="D310" s="141"/>
      <c r="E310" s="128"/>
      <c r="F310" s="142"/>
      <c r="G310" s="143"/>
      <c r="H310" s="713" t="s">
        <v>790</v>
      </c>
      <c r="I310" s="642" t="s">
        <v>383</v>
      </c>
      <c r="J310" s="616" t="s">
        <v>627</v>
      </c>
      <c r="K310" s="616"/>
      <c r="L310" s="615"/>
      <c r="M310" s="644" t="s">
        <v>383</v>
      </c>
      <c r="N310" s="616" t="s">
        <v>791</v>
      </c>
      <c r="O310" s="617"/>
      <c r="P310" s="615"/>
      <c r="Q310" s="644" t="s">
        <v>383</v>
      </c>
      <c r="R310" s="618" t="s">
        <v>792</v>
      </c>
      <c r="S310" s="615"/>
      <c r="T310" s="615"/>
      <c r="U310" s="615"/>
      <c r="V310" s="618"/>
      <c r="W310" s="619"/>
      <c r="X310" s="620"/>
      <c r="Y310" s="154"/>
      <c r="Z310" s="147"/>
      <c r="AA310" s="147"/>
      <c r="AB310" s="148"/>
      <c r="AC310" s="154"/>
      <c r="AD310" s="147"/>
      <c r="AE310" s="147"/>
      <c r="AF310" s="148"/>
    </row>
    <row r="311" spans="1:37" s="621" customFormat="1" ht="18.75" customHeight="1" x14ac:dyDescent="0.2">
      <c r="A311" s="183"/>
      <c r="B311" s="658"/>
      <c r="C311" s="185"/>
      <c r="D311" s="186"/>
      <c r="E311" s="187"/>
      <c r="F311" s="188"/>
      <c r="G311" s="189"/>
      <c r="H311" s="714"/>
      <c r="I311" s="643" t="s">
        <v>383</v>
      </c>
      <c r="J311" s="623" t="s">
        <v>793</v>
      </c>
      <c r="K311" s="623"/>
      <c r="L311" s="622"/>
      <c r="M311" s="211" t="s">
        <v>383</v>
      </c>
      <c r="N311" s="623" t="s">
        <v>794</v>
      </c>
      <c r="O311" s="624"/>
      <c r="P311" s="622"/>
      <c r="Q311" s="211" t="s">
        <v>383</v>
      </c>
      <c r="R311" s="623" t="s">
        <v>795</v>
      </c>
      <c r="S311" s="622"/>
      <c r="T311" s="623"/>
      <c r="U311" s="211" t="s">
        <v>383</v>
      </c>
      <c r="V311" s="623" t="s">
        <v>796</v>
      </c>
      <c r="W311" s="625"/>
      <c r="X311" s="626"/>
      <c r="Y311" s="194"/>
      <c r="Z311" s="147"/>
      <c r="AA311" s="147"/>
      <c r="AB311" s="148"/>
      <c r="AC311" s="194"/>
      <c r="AD311" s="147"/>
      <c r="AE311" s="147"/>
      <c r="AF311" s="148"/>
    </row>
    <row r="312" spans="1:37" ht="18.75" customHeight="1" x14ac:dyDescent="0.2">
      <c r="A312" s="129"/>
      <c r="B312" s="116"/>
      <c r="C312" s="233"/>
      <c r="D312" s="132"/>
      <c r="E312" s="121"/>
      <c r="F312" s="132"/>
      <c r="G312" s="136"/>
      <c r="H312" s="559" t="s">
        <v>97</v>
      </c>
      <c r="I312" s="367" t="s">
        <v>383</v>
      </c>
      <c r="J312" s="368" t="s">
        <v>300</v>
      </c>
      <c r="K312" s="369"/>
      <c r="L312" s="370"/>
      <c r="M312" s="371" t="s">
        <v>383</v>
      </c>
      <c r="N312" s="368" t="s">
        <v>301</v>
      </c>
      <c r="O312" s="372"/>
      <c r="P312" s="372"/>
      <c r="Q312" s="372"/>
      <c r="R312" s="372"/>
      <c r="S312" s="372"/>
      <c r="T312" s="372"/>
      <c r="U312" s="372"/>
      <c r="V312" s="372"/>
      <c r="W312" s="372"/>
      <c r="X312" s="373"/>
      <c r="Y312" s="412" t="s">
        <v>383</v>
      </c>
      <c r="Z312" s="413" t="s">
        <v>249</v>
      </c>
      <c r="AA312" s="413"/>
      <c r="AB312" s="564"/>
      <c r="AC312" s="138" t="s">
        <v>383</v>
      </c>
      <c r="AD312" s="119" t="s">
        <v>249</v>
      </c>
      <c r="AE312" s="119"/>
      <c r="AF312" s="137"/>
      <c r="AG312" s="109" t="str">
        <f>"ser_code = '" &amp; IF(A319="■",37,"") &amp; "'"</f>
        <v>ser_code = ''</v>
      </c>
      <c r="AH312" s="109"/>
      <c r="AI312" s="109" t="str">
        <f>"37:yakan_kinmu_code:" &amp; IF(I312="■",1,IF(M312="■",6,0))</f>
        <v>37:yakan_kinmu_code:0</v>
      </c>
      <c r="AJ312" s="109" t="str">
        <f>"37:field203:" &amp; IF(Y312="■",1,IF(Y313="■",2,0))</f>
        <v>37:field203:0</v>
      </c>
      <c r="AK312" s="109" t="str">
        <f>"37:waribiki_code:" &amp; IF(AC312="■",1,IF(AC313="■",2,0))</f>
        <v>37:waribiki_code:0</v>
      </c>
    </row>
    <row r="313" spans="1:37" ht="18.75" customHeight="1" x14ac:dyDescent="0.2">
      <c r="A313" s="139"/>
      <c r="B313" s="123"/>
      <c r="C313" s="237"/>
      <c r="D313" s="142"/>
      <c r="E313" s="128"/>
      <c r="F313" s="142"/>
      <c r="G313" s="270"/>
      <c r="H313" s="508" t="s">
        <v>93</v>
      </c>
      <c r="I313" s="349" t="s">
        <v>383</v>
      </c>
      <c r="J313" s="350" t="s">
        <v>250</v>
      </c>
      <c r="K313" s="350"/>
      <c r="L313" s="352"/>
      <c r="M313" s="353" t="s">
        <v>383</v>
      </c>
      <c r="N313" s="350" t="s">
        <v>557</v>
      </c>
      <c r="O313" s="350"/>
      <c r="P313" s="352"/>
      <c r="Q313" s="351"/>
      <c r="R313" s="351"/>
      <c r="S313" s="351"/>
      <c r="T313" s="351"/>
      <c r="U313" s="351"/>
      <c r="V313" s="351"/>
      <c r="W313" s="351"/>
      <c r="X313" s="365"/>
      <c r="Y313" s="538" t="s">
        <v>383</v>
      </c>
      <c r="Z313" s="409" t="s">
        <v>255</v>
      </c>
      <c r="AA313" s="445"/>
      <c r="AB313" s="565"/>
      <c r="AC313" s="125" t="s">
        <v>383</v>
      </c>
      <c r="AD313" s="126" t="s">
        <v>255</v>
      </c>
      <c r="AE313" s="147"/>
      <c r="AF313" s="148"/>
      <c r="AG313" s="109" t="str">
        <f>"37:sisetukbn_code:" &amp; IF(D319="■",1,IF(D320="■",2,IF(D321="■",3,IF(D322="■",4,0))))</f>
        <v>37:sisetukbn_code:0</v>
      </c>
      <c r="AI313" s="109" t="str">
        <f>"37:"&amp;IF(AND(I313="□",M313="□"),"ketu_kaigoj_code:0",IF(I313="■","ketu_kaigoj_code:1",IF(M313="■","ketu_kaigoj_code:2","ketu_kaigoj_code:1")))</f>
        <v>37:ketu_kaigoj_code:0</v>
      </c>
    </row>
    <row r="314" spans="1:37" ht="18.75" customHeight="1" x14ac:dyDescent="0.2">
      <c r="A314" s="139"/>
      <c r="B314" s="123"/>
      <c r="C314" s="237"/>
      <c r="D314" s="142"/>
      <c r="E314" s="128"/>
      <c r="F314" s="142"/>
      <c r="G314" s="270"/>
      <c r="H314" s="458" t="s">
        <v>185</v>
      </c>
      <c r="I314" s="349" t="s">
        <v>383</v>
      </c>
      <c r="J314" s="350" t="s">
        <v>395</v>
      </c>
      <c r="K314" s="351"/>
      <c r="L314" s="352"/>
      <c r="M314" s="353" t="s">
        <v>383</v>
      </c>
      <c r="N314" s="350" t="s">
        <v>396</v>
      </c>
      <c r="O314" s="355"/>
      <c r="P314" s="355"/>
      <c r="Q314" s="351"/>
      <c r="R314" s="351"/>
      <c r="S314" s="351"/>
      <c r="T314" s="351"/>
      <c r="U314" s="351"/>
      <c r="V314" s="351"/>
      <c r="W314" s="351"/>
      <c r="X314" s="365"/>
      <c r="Y314" s="444"/>
      <c r="Z314" s="445"/>
      <c r="AA314" s="445"/>
      <c r="AB314" s="565"/>
      <c r="AC314" s="154"/>
      <c r="AD314" s="147"/>
      <c r="AE314" s="147"/>
      <c r="AF314" s="148"/>
      <c r="AI314" s="109" t="str">
        <f>"37:sintaikousoku_code:" &amp; IF(I314="■",1,IF(M314="■",2,0))</f>
        <v>37:sintaikousoku_code:0</v>
      </c>
    </row>
    <row r="315" spans="1:37" ht="19.5" customHeight="1" x14ac:dyDescent="0.2">
      <c r="A315" s="139"/>
      <c r="B315" s="123"/>
      <c r="C315" s="140"/>
      <c r="D315" s="141"/>
      <c r="E315" s="128"/>
      <c r="F315" s="142"/>
      <c r="G315" s="143"/>
      <c r="H315" s="348" t="s">
        <v>430</v>
      </c>
      <c r="I315" s="349" t="s">
        <v>383</v>
      </c>
      <c r="J315" s="350" t="s">
        <v>395</v>
      </c>
      <c r="K315" s="351"/>
      <c r="L315" s="352"/>
      <c r="M315" s="353" t="s">
        <v>383</v>
      </c>
      <c r="N315" s="350" t="s">
        <v>431</v>
      </c>
      <c r="O315" s="354"/>
      <c r="P315" s="350"/>
      <c r="Q315" s="355"/>
      <c r="R315" s="355"/>
      <c r="S315" s="355"/>
      <c r="T315" s="355"/>
      <c r="U315" s="355"/>
      <c r="V315" s="355"/>
      <c r="W315" s="355"/>
      <c r="X315" s="356"/>
      <c r="Y315" s="445"/>
      <c r="Z315" s="445"/>
      <c r="AA315" s="445"/>
      <c r="AB315" s="565"/>
      <c r="AC315" s="154"/>
      <c r="AD315" s="147"/>
      <c r="AE315" s="147"/>
      <c r="AF315" s="148"/>
      <c r="AI315" s="109" t="str">
        <f>"37:field223:" &amp; IF(I315="■",1,IF(M315="■",2,0))</f>
        <v>37:field223:0</v>
      </c>
    </row>
    <row r="316" spans="1:37" ht="19.5" customHeight="1" x14ac:dyDescent="0.2">
      <c r="A316" s="139"/>
      <c r="B316" s="123"/>
      <c r="C316" s="140"/>
      <c r="D316" s="141"/>
      <c r="E316" s="128"/>
      <c r="F316" s="142"/>
      <c r="G316" s="143"/>
      <c r="H316" s="348" t="s">
        <v>448</v>
      </c>
      <c r="I316" s="349" t="s">
        <v>383</v>
      </c>
      <c r="J316" s="350" t="s">
        <v>395</v>
      </c>
      <c r="K316" s="351"/>
      <c r="L316" s="352"/>
      <c r="M316" s="353" t="s">
        <v>383</v>
      </c>
      <c r="N316" s="350" t="s">
        <v>431</v>
      </c>
      <c r="O316" s="354"/>
      <c r="P316" s="350"/>
      <c r="Q316" s="355"/>
      <c r="R316" s="355"/>
      <c r="S316" s="355"/>
      <c r="T316" s="355"/>
      <c r="U316" s="355"/>
      <c r="V316" s="355"/>
      <c r="W316" s="355"/>
      <c r="X316" s="356"/>
      <c r="Y316" s="445"/>
      <c r="Z316" s="445"/>
      <c r="AA316" s="445"/>
      <c r="AB316" s="565"/>
      <c r="AC316" s="154"/>
      <c r="AD316" s="147"/>
      <c r="AE316" s="147"/>
      <c r="AF316" s="148"/>
      <c r="AI316" s="109" t="str">
        <f>"37:field232:" &amp; IF(I316="■",1,IF(M316="■",2,0))</f>
        <v>37:field232:0</v>
      </c>
    </row>
    <row r="317" spans="1:37" ht="18.75" customHeight="1" x14ac:dyDescent="0.2">
      <c r="A317" s="139"/>
      <c r="B317" s="123"/>
      <c r="C317" s="237"/>
      <c r="D317" s="142"/>
      <c r="E317" s="128"/>
      <c r="F317" s="142"/>
      <c r="G317" s="270"/>
      <c r="H317" s="849" t="s">
        <v>558</v>
      </c>
      <c r="I317" s="797" t="s">
        <v>383</v>
      </c>
      <c r="J317" s="796" t="s">
        <v>250</v>
      </c>
      <c r="K317" s="796"/>
      <c r="L317" s="797" t="s">
        <v>383</v>
      </c>
      <c r="M317" s="796" t="s">
        <v>267</v>
      </c>
      <c r="N317" s="796"/>
      <c r="O317" s="375"/>
      <c r="P317" s="375"/>
      <c r="Q317" s="375"/>
      <c r="R317" s="375"/>
      <c r="S317" s="375"/>
      <c r="T317" s="375"/>
      <c r="U317" s="375"/>
      <c r="V317" s="375"/>
      <c r="W317" s="375"/>
      <c r="X317" s="441"/>
      <c r="Y317" s="444"/>
      <c r="Z317" s="445"/>
      <c r="AA317" s="445"/>
      <c r="AB317" s="565"/>
      <c r="AC317" s="154"/>
      <c r="AD317" s="147"/>
      <c r="AE317" s="147"/>
      <c r="AF317" s="148"/>
      <c r="AI317" s="109" t="str">
        <f>"37:field219:" &amp; IF(I317="■",1,IF(L317="■",2,0))</f>
        <v>37:field219:0</v>
      </c>
    </row>
    <row r="318" spans="1:37" ht="18.75" customHeight="1" x14ac:dyDescent="0.2">
      <c r="A318" s="139"/>
      <c r="B318" s="123"/>
      <c r="C318" s="237"/>
      <c r="D318" s="142"/>
      <c r="E318" s="128"/>
      <c r="F318" s="142"/>
      <c r="G318" s="270"/>
      <c r="H318" s="850"/>
      <c r="I318" s="793"/>
      <c r="J318" s="795"/>
      <c r="K318" s="795"/>
      <c r="L318" s="793"/>
      <c r="M318" s="795"/>
      <c r="N318" s="795"/>
      <c r="O318" s="381"/>
      <c r="P318" s="381"/>
      <c r="Q318" s="381"/>
      <c r="R318" s="381"/>
      <c r="S318" s="381"/>
      <c r="T318" s="381"/>
      <c r="U318" s="381"/>
      <c r="V318" s="381"/>
      <c r="W318" s="381"/>
      <c r="X318" s="442"/>
      <c r="Y318" s="444"/>
      <c r="Z318" s="445"/>
      <c r="AA318" s="445"/>
      <c r="AB318" s="565"/>
      <c r="AC318" s="154"/>
      <c r="AD318" s="147"/>
      <c r="AE318" s="147"/>
      <c r="AF318" s="148"/>
    </row>
    <row r="319" spans="1:37" ht="18.75" customHeight="1" x14ac:dyDescent="0.2">
      <c r="A319" s="125" t="s">
        <v>383</v>
      </c>
      <c r="B319" s="123">
        <v>37</v>
      </c>
      <c r="C319" s="237" t="s">
        <v>599</v>
      </c>
      <c r="D319" s="125" t="s">
        <v>383</v>
      </c>
      <c r="E319" s="128" t="s">
        <v>379</v>
      </c>
      <c r="F319" s="142"/>
      <c r="G319" s="270"/>
      <c r="H319" s="508" t="s">
        <v>559</v>
      </c>
      <c r="I319" s="536" t="s">
        <v>383</v>
      </c>
      <c r="J319" s="350" t="s">
        <v>250</v>
      </c>
      <c r="K319" s="350"/>
      <c r="L319" s="353" t="s">
        <v>383</v>
      </c>
      <c r="M319" s="350" t="s">
        <v>251</v>
      </c>
      <c r="N319" s="350"/>
      <c r="O319" s="561" t="s">
        <v>383</v>
      </c>
      <c r="P319" s="350" t="s">
        <v>252</v>
      </c>
      <c r="Q319" s="531"/>
      <c r="R319" s="531"/>
      <c r="S319" s="531"/>
      <c r="T319" s="531"/>
      <c r="U319" s="531"/>
      <c r="V319" s="531"/>
      <c r="W319" s="531"/>
      <c r="X319" s="440"/>
      <c r="Y319" s="444"/>
      <c r="Z319" s="445"/>
      <c r="AA319" s="445"/>
      <c r="AB319" s="565"/>
      <c r="AC319" s="154"/>
      <c r="AD319" s="147"/>
      <c r="AE319" s="147"/>
      <c r="AF319" s="148"/>
      <c r="AI319" s="109" t="str">
        <f>"37:field173:" &amp; IF(I319="■",1,IF(L319="■",2,IF(O319="■",3,0)))</f>
        <v>37:field173:0</v>
      </c>
    </row>
    <row r="320" spans="1:37" ht="18.75" customHeight="1" x14ac:dyDescent="0.2">
      <c r="A320" s="139"/>
      <c r="B320" s="123"/>
      <c r="C320" s="237" t="s">
        <v>605</v>
      </c>
      <c r="D320" s="125" t="s">
        <v>383</v>
      </c>
      <c r="E320" s="128" t="s">
        <v>365</v>
      </c>
      <c r="F320" s="142"/>
      <c r="G320" s="270"/>
      <c r="H320" s="508" t="s">
        <v>486</v>
      </c>
      <c r="I320" s="349" t="s">
        <v>383</v>
      </c>
      <c r="J320" s="350" t="s">
        <v>250</v>
      </c>
      <c r="K320" s="351"/>
      <c r="L320" s="353" t="s">
        <v>383</v>
      </c>
      <c r="M320" s="350" t="s">
        <v>267</v>
      </c>
      <c r="N320" s="531"/>
      <c r="O320" s="531"/>
      <c r="P320" s="531"/>
      <c r="Q320" s="531"/>
      <c r="R320" s="531"/>
      <c r="S320" s="531"/>
      <c r="T320" s="531"/>
      <c r="U320" s="531"/>
      <c r="V320" s="531"/>
      <c r="W320" s="531"/>
      <c r="X320" s="440"/>
      <c r="Y320" s="444"/>
      <c r="Z320" s="445"/>
      <c r="AA320" s="445"/>
      <c r="AB320" s="565"/>
      <c r="AC320" s="154"/>
      <c r="AD320" s="147"/>
      <c r="AE320" s="147"/>
      <c r="AF320" s="148"/>
      <c r="AI320" s="109" t="str">
        <f>"37:jyakuninti_uke_code:" &amp; IF(I320="■",1,IF(L320="■",2,0))</f>
        <v>37:jyakuninti_uke_code:0</v>
      </c>
    </row>
    <row r="321" spans="1:37" ht="18.75" customHeight="1" x14ac:dyDescent="0.2">
      <c r="A321" s="139"/>
      <c r="B321" s="123"/>
      <c r="C321" s="248"/>
      <c r="D321" s="125" t="s">
        <v>383</v>
      </c>
      <c r="E321" s="128" t="s">
        <v>563</v>
      </c>
      <c r="F321" s="142"/>
      <c r="G321" s="270"/>
      <c r="H321" s="458" t="s">
        <v>606</v>
      </c>
      <c r="I321" s="349" t="s">
        <v>383</v>
      </c>
      <c r="J321" s="350" t="s">
        <v>265</v>
      </c>
      <c r="K321" s="351"/>
      <c r="L321" s="352"/>
      <c r="M321" s="353" t="s">
        <v>383</v>
      </c>
      <c r="N321" s="350" t="s">
        <v>266</v>
      </c>
      <c r="O321" s="355"/>
      <c r="P321" s="355"/>
      <c r="Q321" s="355"/>
      <c r="R321" s="355"/>
      <c r="S321" s="355"/>
      <c r="T321" s="355"/>
      <c r="U321" s="355"/>
      <c r="V321" s="355"/>
      <c r="W321" s="355"/>
      <c r="X321" s="356"/>
      <c r="Y321" s="444"/>
      <c r="Z321" s="445"/>
      <c r="AA321" s="445"/>
      <c r="AB321" s="565"/>
      <c r="AC321" s="154"/>
      <c r="AD321" s="147"/>
      <c r="AE321" s="147"/>
      <c r="AF321" s="148"/>
      <c r="AI321" s="109" t="str">
        <f>"37:field196:" &amp; IF(I321="■",1,IF(M321="■",2,0))</f>
        <v>37:field196:0</v>
      </c>
    </row>
    <row r="322" spans="1:37" ht="18.75" customHeight="1" x14ac:dyDescent="0.2">
      <c r="A322" s="139"/>
      <c r="B322" s="123"/>
      <c r="C322" s="237"/>
      <c r="D322" s="125" t="s">
        <v>383</v>
      </c>
      <c r="E322" s="128" t="s">
        <v>564</v>
      </c>
      <c r="F322" s="142"/>
      <c r="G322" s="270"/>
      <c r="H322" s="508" t="s">
        <v>116</v>
      </c>
      <c r="I322" s="536" t="s">
        <v>383</v>
      </c>
      <c r="J322" s="350" t="s">
        <v>250</v>
      </c>
      <c r="K322" s="350"/>
      <c r="L322" s="353" t="s">
        <v>383</v>
      </c>
      <c r="M322" s="350" t="s">
        <v>251</v>
      </c>
      <c r="N322" s="350"/>
      <c r="O322" s="561" t="s">
        <v>383</v>
      </c>
      <c r="P322" s="350" t="s">
        <v>252</v>
      </c>
      <c r="Q322" s="531"/>
      <c r="R322" s="531"/>
      <c r="S322" s="531"/>
      <c r="T322" s="531"/>
      <c r="U322" s="531"/>
      <c r="V322" s="531"/>
      <c r="W322" s="531"/>
      <c r="X322" s="440"/>
      <c r="Y322" s="444"/>
      <c r="Z322" s="445"/>
      <c r="AA322" s="445"/>
      <c r="AB322" s="565"/>
      <c r="AC322" s="154"/>
      <c r="AD322" s="147"/>
      <c r="AE322" s="147"/>
      <c r="AF322" s="148"/>
      <c r="AI322" s="109" t="str">
        <f>"37:ninti_senmoncare_code:" &amp; IF(I322="■",1,IF(O322="■",3,IF(L322="■",2,0)))</f>
        <v>37:ninti_senmoncare_code:0</v>
      </c>
    </row>
    <row r="323" spans="1:37" ht="18.75" customHeight="1" x14ac:dyDescent="0.2">
      <c r="A323" s="139"/>
      <c r="B323" s="123"/>
      <c r="C323" s="237"/>
      <c r="D323" s="142"/>
      <c r="E323" s="128"/>
      <c r="F323" s="142"/>
      <c r="G323" s="270"/>
      <c r="H323" s="540" t="s">
        <v>447</v>
      </c>
      <c r="I323" s="349" t="s">
        <v>383</v>
      </c>
      <c r="J323" s="350" t="s">
        <v>250</v>
      </c>
      <c r="K323" s="350"/>
      <c r="L323" s="353" t="s">
        <v>383</v>
      </c>
      <c r="M323" s="350" t="s">
        <v>251</v>
      </c>
      <c r="N323" s="350"/>
      <c r="O323" s="353" t="s">
        <v>383</v>
      </c>
      <c r="P323" s="350" t="s">
        <v>252</v>
      </c>
      <c r="Q323" s="351"/>
      <c r="R323" s="351"/>
      <c r="S323" s="351"/>
      <c r="T323" s="351"/>
      <c r="U323" s="351"/>
      <c r="V323" s="351"/>
      <c r="W323" s="351"/>
      <c r="X323" s="365"/>
      <c r="Y323" s="444"/>
      <c r="Z323" s="445"/>
      <c r="AA323" s="445"/>
      <c r="AB323" s="565"/>
      <c r="AC323" s="154"/>
      <c r="AD323" s="147"/>
      <c r="AE323" s="147"/>
      <c r="AF323" s="148"/>
      <c r="AI323" s="109" t="str">
        <f>"37:field228:" &amp; IF(I323="■",1,IF(L323="■",2,IF(O323="■",3,0)))</f>
        <v>37:field228:0</v>
      </c>
    </row>
    <row r="324" spans="1:37" ht="18.75" customHeight="1" x14ac:dyDescent="0.2">
      <c r="A324" s="139"/>
      <c r="B324" s="123"/>
      <c r="C324" s="237"/>
      <c r="D324" s="142"/>
      <c r="E324" s="128"/>
      <c r="F324" s="142"/>
      <c r="G324" s="270"/>
      <c r="H324" s="461" t="s">
        <v>197</v>
      </c>
      <c r="I324" s="349" t="s">
        <v>383</v>
      </c>
      <c r="J324" s="350" t="s">
        <v>250</v>
      </c>
      <c r="K324" s="351"/>
      <c r="L324" s="353" t="s">
        <v>383</v>
      </c>
      <c r="M324" s="350" t="s">
        <v>267</v>
      </c>
      <c r="N324" s="531"/>
      <c r="O324" s="531"/>
      <c r="P324" s="531"/>
      <c r="Q324" s="531"/>
      <c r="R324" s="531"/>
      <c r="S324" s="531"/>
      <c r="T324" s="531"/>
      <c r="U324" s="531"/>
      <c r="V324" s="531"/>
      <c r="W324" s="531"/>
      <c r="X324" s="440"/>
      <c r="Y324" s="444"/>
      <c r="Z324" s="445"/>
      <c r="AA324" s="445"/>
      <c r="AB324" s="565"/>
      <c r="AC324" s="154"/>
      <c r="AD324" s="147"/>
      <c r="AE324" s="147"/>
      <c r="AF324" s="148"/>
      <c r="AI324" s="109" t="str">
        <f>"37:field212:" &amp; IF(I324="■",1,IF(L324="■",2,0))</f>
        <v>37:field212:0</v>
      </c>
    </row>
    <row r="325" spans="1:37" ht="18.75" customHeight="1" x14ac:dyDescent="0.2">
      <c r="A325" s="139"/>
      <c r="B325" s="123"/>
      <c r="C325" s="237"/>
      <c r="D325" s="142"/>
      <c r="E325" s="128"/>
      <c r="F325" s="142"/>
      <c r="G325" s="128"/>
      <c r="H325" s="540" t="s">
        <v>461</v>
      </c>
      <c r="I325" s="349" t="s">
        <v>383</v>
      </c>
      <c r="J325" s="350" t="s">
        <v>250</v>
      </c>
      <c r="K325" s="350"/>
      <c r="L325" s="353" t="s">
        <v>383</v>
      </c>
      <c r="M325" s="381" t="s">
        <v>267</v>
      </c>
      <c r="N325" s="350"/>
      <c r="O325" s="350"/>
      <c r="P325" s="350"/>
      <c r="Q325" s="351"/>
      <c r="R325" s="351"/>
      <c r="S325" s="351"/>
      <c r="T325" s="351"/>
      <c r="U325" s="351"/>
      <c r="V325" s="351"/>
      <c r="W325" s="351"/>
      <c r="X325" s="365"/>
      <c r="Y325" s="444"/>
      <c r="Z325" s="445"/>
      <c r="AA325" s="445"/>
      <c r="AB325" s="565"/>
      <c r="AC325" s="154"/>
      <c r="AD325" s="147"/>
      <c r="AE325" s="147"/>
      <c r="AF325" s="148"/>
      <c r="AI325" s="109" t="str">
        <f>"37:field226:" &amp; IF(I325="■",1,IF(L325="■",2,0))</f>
        <v>37:field226:0</v>
      </c>
    </row>
    <row r="326" spans="1:37" ht="18.75" customHeight="1" x14ac:dyDescent="0.2">
      <c r="A326" s="139"/>
      <c r="B326" s="123"/>
      <c r="C326" s="237"/>
      <c r="D326" s="142"/>
      <c r="E326" s="128"/>
      <c r="F326" s="142"/>
      <c r="G326" s="128"/>
      <c r="H326" s="540" t="s">
        <v>462</v>
      </c>
      <c r="I326" s="349" t="s">
        <v>383</v>
      </c>
      <c r="J326" s="350" t="s">
        <v>250</v>
      </c>
      <c r="K326" s="350"/>
      <c r="L326" s="353" t="s">
        <v>383</v>
      </c>
      <c r="M326" s="381" t="s">
        <v>267</v>
      </c>
      <c r="N326" s="350"/>
      <c r="O326" s="350"/>
      <c r="P326" s="350"/>
      <c r="Q326" s="351"/>
      <c r="R326" s="351"/>
      <c r="S326" s="351"/>
      <c r="T326" s="351"/>
      <c r="U326" s="351"/>
      <c r="V326" s="351"/>
      <c r="W326" s="351"/>
      <c r="X326" s="365"/>
      <c r="Y326" s="444"/>
      <c r="Z326" s="445"/>
      <c r="AA326" s="445"/>
      <c r="AB326" s="565"/>
      <c r="AC326" s="154"/>
      <c r="AD326" s="147"/>
      <c r="AE326" s="147"/>
      <c r="AF326" s="148"/>
      <c r="AI326" s="109" t="str">
        <f>"37:field227:" &amp; IF(I326="■",1,IF(L326="■",2,0))</f>
        <v>37:field227:0</v>
      </c>
    </row>
    <row r="327" spans="1:37" ht="18.75" customHeight="1" x14ac:dyDescent="0.2">
      <c r="A327" s="139"/>
      <c r="B327" s="123"/>
      <c r="C327" s="237"/>
      <c r="D327" s="142"/>
      <c r="E327" s="128"/>
      <c r="F327" s="142"/>
      <c r="G327" s="270"/>
      <c r="H327" s="435" t="s">
        <v>442</v>
      </c>
      <c r="I327" s="349" t="s">
        <v>383</v>
      </c>
      <c r="J327" s="350" t="s">
        <v>250</v>
      </c>
      <c r="K327" s="350"/>
      <c r="L327" s="353" t="s">
        <v>383</v>
      </c>
      <c r="M327" s="350" t="s">
        <v>251</v>
      </c>
      <c r="N327" s="350"/>
      <c r="O327" s="353" t="s">
        <v>383</v>
      </c>
      <c r="P327" s="350" t="s">
        <v>252</v>
      </c>
      <c r="Q327" s="355"/>
      <c r="R327" s="355"/>
      <c r="S327" s="355"/>
      <c r="T327" s="355"/>
      <c r="U327" s="410"/>
      <c r="V327" s="410"/>
      <c r="W327" s="410"/>
      <c r="X327" s="411"/>
      <c r="Y327" s="444"/>
      <c r="Z327" s="445"/>
      <c r="AA327" s="445"/>
      <c r="AB327" s="565"/>
      <c r="AC327" s="154"/>
      <c r="AD327" s="147"/>
      <c r="AE327" s="147"/>
      <c r="AF327" s="148"/>
      <c r="AI327" s="109" t="str">
        <f>"37:field225:" &amp; IF(I327="■",1,IF(L327="■",2,IF(O327="■",3,0)))</f>
        <v>37:field225:0</v>
      </c>
    </row>
    <row r="328" spans="1:37" ht="18.75" customHeight="1" x14ac:dyDescent="0.2">
      <c r="A328" s="139"/>
      <c r="B328" s="123"/>
      <c r="C328" s="237"/>
      <c r="D328" s="142"/>
      <c r="E328" s="128"/>
      <c r="F328" s="142"/>
      <c r="G328" s="270"/>
      <c r="H328" s="508" t="s">
        <v>118</v>
      </c>
      <c r="I328" s="349" t="s">
        <v>383</v>
      </c>
      <c r="J328" s="350" t="s">
        <v>250</v>
      </c>
      <c r="K328" s="350"/>
      <c r="L328" s="353" t="s">
        <v>383</v>
      </c>
      <c r="M328" s="350" t="s">
        <v>258</v>
      </c>
      <c r="N328" s="350"/>
      <c r="O328" s="353" t="s">
        <v>383</v>
      </c>
      <c r="P328" s="350" t="s">
        <v>259</v>
      </c>
      <c r="Q328" s="531"/>
      <c r="R328" s="353" t="s">
        <v>383</v>
      </c>
      <c r="S328" s="350" t="s">
        <v>283</v>
      </c>
      <c r="T328" s="531"/>
      <c r="U328" s="531"/>
      <c r="V328" s="531"/>
      <c r="W328" s="531"/>
      <c r="X328" s="440"/>
      <c r="Y328" s="444"/>
      <c r="Z328" s="445"/>
      <c r="AA328" s="445"/>
      <c r="AB328" s="565"/>
      <c r="AC328" s="154"/>
      <c r="AD328" s="147"/>
      <c r="AE328" s="147"/>
      <c r="AF328" s="148"/>
      <c r="AI328" s="109" t="str">
        <f>"37:serteikyo_kyoka_code:" &amp; IF(I328="■",1,IF(L328="■",6,IF(O328="■",5,IF(R328="■",7,0))))</f>
        <v>37:serteikyo_kyoka_code:0</v>
      </c>
    </row>
    <row r="329" spans="1:37" s="621" customFormat="1" ht="20.399999999999999" customHeight="1" x14ac:dyDescent="0.2">
      <c r="A329" s="139"/>
      <c r="B329" s="670"/>
      <c r="C329" s="140"/>
      <c r="D329" s="141"/>
      <c r="E329" s="128"/>
      <c r="F329" s="142"/>
      <c r="G329" s="143"/>
      <c r="H329" s="713" t="s">
        <v>790</v>
      </c>
      <c r="I329" s="642" t="s">
        <v>383</v>
      </c>
      <c r="J329" s="616" t="s">
        <v>627</v>
      </c>
      <c r="K329" s="616"/>
      <c r="L329" s="615"/>
      <c r="M329" s="644" t="s">
        <v>383</v>
      </c>
      <c r="N329" s="616" t="s">
        <v>791</v>
      </c>
      <c r="O329" s="617"/>
      <c r="P329" s="615"/>
      <c r="Q329" s="644" t="s">
        <v>383</v>
      </c>
      <c r="R329" s="618" t="s">
        <v>792</v>
      </c>
      <c r="S329" s="615"/>
      <c r="T329" s="615"/>
      <c r="U329" s="615"/>
      <c r="V329" s="618"/>
      <c r="W329" s="619"/>
      <c r="X329" s="620"/>
      <c r="Y329" s="154"/>
      <c r="Z329" s="147"/>
      <c r="AA329" s="147"/>
      <c r="AB329" s="148"/>
      <c r="AC329" s="154"/>
      <c r="AD329" s="147"/>
      <c r="AE329" s="147"/>
      <c r="AF329" s="148"/>
    </row>
    <row r="330" spans="1:37" s="621" customFormat="1" ht="18.75" customHeight="1" x14ac:dyDescent="0.2">
      <c r="A330" s="183"/>
      <c r="B330" s="658"/>
      <c r="C330" s="185"/>
      <c r="D330" s="186"/>
      <c r="E330" s="187"/>
      <c r="F330" s="188"/>
      <c r="G330" s="189"/>
      <c r="H330" s="714"/>
      <c r="I330" s="643" t="s">
        <v>383</v>
      </c>
      <c r="J330" s="623" t="s">
        <v>793</v>
      </c>
      <c r="K330" s="623"/>
      <c r="L330" s="622"/>
      <c r="M330" s="211" t="s">
        <v>383</v>
      </c>
      <c r="N330" s="623" t="s">
        <v>794</v>
      </c>
      <c r="O330" s="624"/>
      <c r="P330" s="622"/>
      <c r="Q330" s="211" t="s">
        <v>383</v>
      </c>
      <c r="R330" s="623" t="s">
        <v>795</v>
      </c>
      <c r="S330" s="622"/>
      <c r="T330" s="623"/>
      <c r="U330" s="211" t="s">
        <v>383</v>
      </c>
      <c r="V330" s="623" t="s">
        <v>796</v>
      </c>
      <c r="W330" s="625"/>
      <c r="X330" s="626"/>
      <c r="Y330" s="194"/>
      <c r="Z330" s="147"/>
      <c r="AA330" s="147"/>
      <c r="AB330" s="148"/>
      <c r="AC330" s="194"/>
      <c r="AD330" s="147"/>
      <c r="AE330" s="147"/>
      <c r="AF330" s="148"/>
    </row>
    <row r="331" spans="1:37" ht="18.75" customHeight="1" x14ac:dyDescent="0.2">
      <c r="A331" s="129"/>
      <c r="B331" s="116"/>
      <c r="C331" s="233"/>
      <c r="D331" s="132"/>
      <c r="E331" s="121"/>
      <c r="F331" s="258"/>
      <c r="G331" s="317"/>
      <c r="H331" s="559" t="s">
        <v>97</v>
      </c>
      <c r="I331" s="367" t="s">
        <v>383</v>
      </c>
      <c r="J331" s="368" t="s">
        <v>300</v>
      </c>
      <c r="K331" s="369"/>
      <c r="L331" s="370"/>
      <c r="M331" s="371" t="s">
        <v>383</v>
      </c>
      <c r="N331" s="368" t="s">
        <v>301</v>
      </c>
      <c r="O331" s="372"/>
      <c r="P331" s="372"/>
      <c r="Q331" s="372"/>
      <c r="R331" s="372"/>
      <c r="S331" s="372"/>
      <c r="T331" s="372"/>
      <c r="U331" s="372"/>
      <c r="V331" s="372"/>
      <c r="W331" s="372"/>
      <c r="X331" s="373"/>
      <c r="Y331" s="412" t="s">
        <v>383</v>
      </c>
      <c r="Z331" s="413" t="s">
        <v>249</v>
      </c>
      <c r="AA331" s="413"/>
      <c r="AB331" s="564"/>
      <c r="AC331" s="138" t="s">
        <v>383</v>
      </c>
      <c r="AD331" s="119" t="s">
        <v>249</v>
      </c>
      <c r="AE331" s="119"/>
      <c r="AF331" s="137"/>
      <c r="AG331" s="109" t="str">
        <f>"ser_code = '" &amp; IF(A337="■",39,"") &amp; "'"</f>
        <v>ser_code = ''</v>
      </c>
      <c r="AH331" s="109"/>
      <c r="AI331" s="109" t="str">
        <f>"39:yakan_kinmu_code:" &amp; IF(I331="■",1,IF(M331="■",6,0))</f>
        <v>39:yakan_kinmu_code:0</v>
      </c>
      <c r="AJ331" s="109" t="str">
        <f>"39:field203:" &amp; IF(Y331="■",1,IF(Y332="■",2,0))</f>
        <v>39:field203:0</v>
      </c>
      <c r="AK331" s="109" t="str">
        <f>"39:waribiki_code:" &amp; IF(AC331="■",1,IF(AC332="■",2,0))</f>
        <v>39:waribiki_code:0</v>
      </c>
    </row>
    <row r="332" spans="1:37" ht="18.75" customHeight="1" x14ac:dyDescent="0.2">
      <c r="A332" s="139"/>
      <c r="B332" s="123"/>
      <c r="C332" s="237"/>
      <c r="D332" s="142"/>
      <c r="E332" s="128"/>
      <c r="F332" s="260"/>
      <c r="G332" s="318"/>
      <c r="H332" s="508" t="s">
        <v>93</v>
      </c>
      <c r="I332" s="349" t="s">
        <v>383</v>
      </c>
      <c r="J332" s="350" t="s">
        <v>250</v>
      </c>
      <c r="K332" s="350"/>
      <c r="L332" s="352"/>
      <c r="M332" s="353" t="s">
        <v>383</v>
      </c>
      <c r="N332" s="350" t="s">
        <v>557</v>
      </c>
      <c r="O332" s="350"/>
      <c r="P332" s="352"/>
      <c r="Q332" s="351"/>
      <c r="R332" s="351"/>
      <c r="S332" s="351"/>
      <c r="T332" s="351"/>
      <c r="U332" s="351"/>
      <c r="V332" s="351"/>
      <c r="W332" s="351"/>
      <c r="X332" s="365"/>
      <c r="Y332" s="538" t="s">
        <v>383</v>
      </c>
      <c r="Z332" s="409" t="s">
        <v>255</v>
      </c>
      <c r="AA332" s="445"/>
      <c r="AB332" s="565"/>
      <c r="AC332" s="125" t="s">
        <v>383</v>
      </c>
      <c r="AD332" s="126" t="s">
        <v>255</v>
      </c>
      <c r="AE332" s="147"/>
      <c r="AF332" s="148"/>
      <c r="AG332" s="109" t="str">
        <f>"39:sisetukbn_code:" &amp; IF(D336="■",1,IF(D337="■",2,IF(D338="■",3,IF(D339="■",4,0))))</f>
        <v>39:sisetukbn_code:0</v>
      </c>
      <c r="AI332" s="109" t="str">
        <f>"39:"&amp;IF(AND(I332="□",M332="□"),"ketu_kaigoj_code:0",IF(I332="■","ketu_kaigoj_code:1",IF(M332="■","ketu_kaigoj_code:2","ketu_kaigoj_code:1")))</f>
        <v>39:ketu_kaigoj_code:0</v>
      </c>
    </row>
    <row r="333" spans="1:37" ht="18.75" customHeight="1" x14ac:dyDescent="0.2">
      <c r="A333" s="139"/>
      <c r="B333" s="123"/>
      <c r="C333" s="237"/>
      <c r="D333" s="142"/>
      <c r="E333" s="128"/>
      <c r="F333" s="142"/>
      <c r="G333" s="270"/>
      <c r="H333" s="458" t="s">
        <v>185</v>
      </c>
      <c r="I333" s="349" t="s">
        <v>383</v>
      </c>
      <c r="J333" s="350" t="s">
        <v>395</v>
      </c>
      <c r="K333" s="351"/>
      <c r="L333" s="352"/>
      <c r="M333" s="353" t="s">
        <v>383</v>
      </c>
      <c r="N333" s="350" t="s">
        <v>396</v>
      </c>
      <c r="O333" s="355"/>
      <c r="P333" s="355"/>
      <c r="Q333" s="351"/>
      <c r="R333" s="351"/>
      <c r="S333" s="351"/>
      <c r="T333" s="351"/>
      <c r="U333" s="351"/>
      <c r="V333" s="351"/>
      <c r="W333" s="351"/>
      <c r="X333" s="365"/>
      <c r="Y333" s="444"/>
      <c r="Z333" s="445"/>
      <c r="AA333" s="445"/>
      <c r="AB333" s="565"/>
      <c r="AC333" s="154"/>
      <c r="AD333" s="147"/>
      <c r="AE333" s="147"/>
      <c r="AF333" s="148"/>
      <c r="AI333" s="109" t="str">
        <f>"39:sintaikousoku_code:" &amp; IF(I333="■",1,IF(M333="■",2,0))</f>
        <v>39:sintaikousoku_code:0</v>
      </c>
    </row>
    <row r="334" spans="1:37" ht="19.5" customHeight="1" x14ac:dyDescent="0.2">
      <c r="A334" s="139"/>
      <c r="B334" s="123"/>
      <c r="C334" s="140"/>
      <c r="D334" s="141"/>
      <c r="E334" s="128"/>
      <c r="F334" s="142"/>
      <c r="G334" s="143"/>
      <c r="H334" s="348" t="s">
        <v>430</v>
      </c>
      <c r="I334" s="349" t="s">
        <v>383</v>
      </c>
      <c r="J334" s="350" t="s">
        <v>395</v>
      </c>
      <c r="K334" s="351"/>
      <c r="L334" s="352"/>
      <c r="M334" s="353" t="s">
        <v>383</v>
      </c>
      <c r="N334" s="350" t="s">
        <v>431</v>
      </c>
      <c r="O334" s="355"/>
      <c r="P334" s="350"/>
      <c r="Q334" s="355"/>
      <c r="R334" s="355"/>
      <c r="S334" s="355"/>
      <c r="T334" s="355"/>
      <c r="U334" s="355"/>
      <c r="V334" s="355"/>
      <c r="W334" s="355"/>
      <c r="X334" s="356"/>
      <c r="Y334" s="445"/>
      <c r="Z334" s="445"/>
      <c r="AA334" s="445"/>
      <c r="AB334" s="565"/>
      <c r="AC334" s="154"/>
      <c r="AD334" s="147"/>
      <c r="AE334" s="147"/>
      <c r="AF334" s="148"/>
      <c r="AI334" s="109" t="str">
        <f>"39:field223:" &amp; IF(I334="■",1,IF(M334="■",2,0))</f>
        <v>39:field223:0</v>
      </c>
    </row>
    <row r="335" spans="1:37" ht="19.5" customHeight="1" x14ac:dyDescent="0.2">
      <c r="A335" s="139"/>
      <c r="B335" s="123"/>
      <c r="C335" s="140"/>
      <c r="D335" s="141"/>
      <c r="E335" s="128"/>
      <c r="F335" s="142"/>
      <c r="G335" s="143"/>
      <c r="H335" s="348" t="s">
        <v>448</v>
      </c>
      <c r="I335" s="349" t="s">
        <v>383</v>
      </c>
      <c r="J335" s="350" t="s">
        <v>395</v>
      </c>
      <c r="K335" s="351"/>
      <c r="L335" s="352"/>
      <c r="M335" s="353" t="s">
        <v>383</v>
      </c>
      <c r="N335" s="350" t="s">
        <v>431</v>
      </c>
      <c r="O335" s="355"/>
      <c r="P335" s="350"/>
      <c r="Q335" s="355"/>
      <c r="R335" s="355"/>
      <c r="S335" s="355"/>
      <c r="T335" s="355"/>
      <c r="U335" s="355"/>
      <c r="V335" s="355"/>
      <c r="W335" s="355"/>
      <c r="X335" s="356"/>
      <c r="Y335" s="445"/>
      <c r="Z335" s="445"/>
      <c r="AA335" s="445"/>
      <c r="AB335" s="565"/>
      <c r="AC335" s="154"/>
      <c r="AD335" s="147"/>
      <c r="AE335" s="147"/>
      <c r="AF335" s="148"/>
      <c r="AI335" s="109" t="str">
        <f>"39:field232:" &amp; IF(I335="■",1,IF(M335="■",2,0))</f>
        <v>39:field232:0</v>
      </c>
    </row>
    <row r="336" spans="1:37" ht="18.75" customHeight="1" x14ac:dyDescent="0.2">
      <c r="A336" s="139"/>
      <c r="B336" s="123"/>
      <c r="C336" s="237" t="s">
        <v>599</v>
      </c>
      <c r="D336" s="125" t="s">
        <v>383</v>
      </c>
      <c r="E336" s="128" t="s">
        <v>379</v>
      </c>
      <c r="F336" s="260"/>
      <c r="G336" s="318"/>
      <c r="H336" s="849" t="s">
        <v>558</v>
      </c>
      <c r="I336" s="797" t="s">
        <v>383</v>
      </c>
      <c r="J336" s="796" t="s">
        <v>250</v>
      </c>
      <c r="K336" s="796"/>
      <c r="L336" s="797" t="s">
        <v>383</v>
      </c>
      <c r="M336" s="796" t="s">
        <v>267</v>
      </c>
      <c r="N336" s="796"/>
      <c r="O336" s="375"/>
      <c r="P336" s="375"/>
      <c r="Q336" s="375"/>
      <c r="R336" s="375"/>
      <c r="S336" s="375"/>
      <c r="T336" s="375"/>
      <c r="U336" s="375"/>
      <c r="V336" s="375"/>
      <c r="W336" s="375"/>
      <c r="X336" s="441"/>
      <c r="Y336" s="444"/>
      <c r="Z336" s="445"/>
      <c r="AA336" s="445"/>
      <c r="AB336" s="565"/>
      <c r="AC336" s="154"/>
      <c r="AD336" s="147"/>
      <c r="AE336" s="147"/>
      <c r="AF336" s="148"/>
      <c r="AI336" s="109" t="str">
        <f>"39:field219:" &amp; IF(I336="■",1,IF(L336="■",2,0))</f>
        <v>39:field219:0</v>
      </c>
    </row>
    <row r="337" spans="1:35" ht="18.75" customHeight="1" x14ac:dyDescent="0.2">
      <c r="A337" s="125" t="s">
        <v>383</v>
      </c>
      <c r="B337" s="123">
        <v>39</v>
      </c>
      <c r="C337" s="237" t="s">
        <v>605</v>
      </c>
      <c r="D337" s="125" t="s">
        <v>383</v>
      </c>
      <c r="E337" s="128" t="s">
        <v>365</v>
      </c>
      <c r="F337" s="260"/>
      <c r="G337" s="318"/>
      <c r="H337" s="850"/>
      <c r="I337" s="793"/>
      <c r="J337" s="795"/>
      <c r="K337" s="795"/>
      <c r="L337" s="793"/>
      <c r="M337" s="795"/>
      <c r="N337" s="795"/>
      <c r="O337" s="381"/>
      <c r="P337" s="381"/>
      <c r="Q337" s="381"/>
      <c r="R337" s="381"/>
      <c r="S337" s="381"/>
      <c r="T337" s="381"/>
      <c r="U337" s="381"/>
      <c r="V337" s="381"/>
      <c r="W337" s="381"/>
      <c r="X337" s="442"/>
      <c r="Y337" s="444"/>
      <c r="Z337" s="445"/>
      <c r="AA337" s="445"/>
      <c r="AB337" s="565"/>
      <c r="AC337" s="154"/>
      <c r="AD337" s="147"/>
      <c r="AE337" s="147"/>
      <c r="AF337" s="148"/>
      <c r="AI337" s="109"/>
    </row>
    <row r="338" spans="1:35" ht="18.75" customHeight="1" x14ac:dyDescent="0.2">
      <c r="A338" s="139"/>
      <c r="B338" s="123"/>
      <c r="C338" s="237" t="s">
        <v>556</v>
      </c>
      <c r="D338" s="125" t="s">
        <v>383</v>
      </c>
      <c r="E338" s="128" t="s">
        <v>563</v>
      </c>
      <c r="F338" s="260"/>
      <c r="G338" s="318"/>
      <c r="H338" s="508" t="s">
        <v>559</v>
      </c>
      <c r="I338" s="536" t="s">
        <v>383</v>
      </c>
      <c r="J338" s="350" t="s">
        <v>250</v>
      </c>
      <c r="K338" s="350"/>
      <c r="L338" s="353" t="s">
        <v>383</v>
      </c>
      <c r="M338" s="350" t="s">
        <v>251</v>
      </c>
      <c r="N338" s="350"/>
      <c r="O338" s="561" t="s">
        <v>383</v>
      </c>
      <c r="P338" s="350" t="s">
        <v>252</v>
      </c>
      <c r="Q338" s="531"/>
      <c r="R338" s="531"/>
      <c r="S338" s="531"/>
      <c r="T338" s="531"/>
      <c r="U338" s="531"/>
      <c r="V338" s="531"/>
      <c r="W338" s="531"/>
      <c r="X338" s="440"/>
      <c r="Y338" s="444"/>
      <c r="Z338" s="445"/>
      <c r="AA338" s="445"/>
      <c r="AB338" s="565"/>
      <c r="AC338" s="154"/>
      <c r="AD338" s="147"/>
      <c r="AE338" s="147"/>
      <c r="AF338" s="148"/>
      <c r="AI338" s="109" t="str">
        <f>"39:field173:" &amp; IF(I338="■",1,IF(L338="■",2,IF(O338="■",3,0)))</f>
        <v>39:field173:0</v>
      </c>
    </row>
    <row r="339" spans="1:35" ht="18.75" customHeight="1" x14ac:dyDescent="0.2">
      <c r="A339" s="139"/>
      <c r="B339" s="123"/>
      <c r="C339" s="140"/>
      <c r="D339" s="125" t="s">
        <v>383</v>
      </c>
      <c r="E339" s="128" t="s">
        <v>564</v>
      </c>
      <c r="F339" s="260"/>
      <c r="G339" s="318"/>
      <c r="H339" s="508" t="s">
        <v>486</v>
      </c>
      <c r="I339" s="349" t="s">
        <v>383</v>
      </c>
      <c r="J339" s="350" t="s">
        <v>250</v>
      </c>
      <c r="K339" s="351"/>
      <c r="L339" s="353" t="s">
        <v>383</v>
      </c>
      <c r="M339" s="350" t="s">
        <v>267</v>
      </c>
      <c r="N339" s="531"/>
      <c r="O339" s="531"/>
      <c r="P339" s="531"/>
      <c r="Q339" s="531"/>
      <c r="R339" s="531"/>
      <c r="S339" s="531"/>
      <c r="T339" s="531"/>
      <c r="U339" s="531"/>
      <c r="V339" s="531"/>
      <c r="W339" s="531"/>
      <c r="X339" s="440"/>
      <c r="Y339" s="444"/>
      <c r="Z339" s="445"/>
      <c r="AA339" s="445"/>
      <c r="AB339" s="565"/>
      <c r="AC339" s="154"/>
      <c r="AD339" s="147"/>
      <c r="AE339" s="147"/>
      <c r="AF339" s="148"/>
      <c r="AI339" s="109" t="str">
        <f>"39:jyakuninti_uke_code:" &amp; IF(I339="■",1,IF(L339="■",2,0))</f>
        <v>39:jyakuninti_uke_code:0</v>
      </c>
    </row>
    <row r="340" spans="1:35" ht="18.75" customHeight="1" x14ac:dyDescent="0.2">
      <c r="A340" s="139"/>
      <c r="B340" s="123"/>
      <c r="C340" s="237"/>
      <c r="D340" s="141"/>
      <c r="E340" s="128"/>
      <c r="F340" s="142"/>
      <c r="G340" s="128"/>
      <c r="H340" s="540" t="s">
        <v>461</v>
      </c>
      <c r="I340" s="349" t="s">
        <v>383</v>
      </c>
      <c r="J340" s="350" t="s">
        <v>250</v>
      </c>
      <c r="K340" s="350"/>
      <c r="L340" s="353" t="s">
        <v>383</v>
      </c>
      <c r="M340" s="381" t="s">
        <v>267</v>
      </c>
      <c r="N340" s="350"/>
      <c r="O340" s="350"/>
      <c r="P340" s="350"/>
      <c r="Q340" s="351"/>
      <c r="R340" s="351"/>
      <c r="S340" s="351"/>
      <c r="T340" s="351"/>
      <c r="U340" s="351"/>
      <c r="V340" s="351"/>
      <c r="W340" s="351"/>
      <c r="X340" s="365"/>
      <c r="Y340" s="444"/>
      <c r="Z340" s="445"/>
      <c r="AA340" s="445"/>
      <c r="AB340" s="565"/>
      <c r="AC340" s="154"/>
      <c r="AD340" s="147"/>
      <c r="AE340" s="147"/>
      <c r="AF340" s="148"/>
      <c r="AI340" s="109" t="str">
        <f>"39:field226:" &amp; IF(I340="■",1,IF(L340="■",2,0))</f>
        <v>39:field226:0</v>
      </c>
    </row>
    <row r="341" spans="1:35" ht="18.75" customHeight="1" x14ac:dyDescent="0.2">
      <c r="A341" s="139"/>
      <c r="B341" s="123"/>
      <c r="C341" s="237"/>
      <c r="D341" s="141"/>
      <c r="E341" s="128"/>
      <c r="F341" s="142"/>
      <c r="G341" s="128"/>
      <c r="H341" s="540" t="s">
        <v>462</v>
      </c>
      <c r="I341" s="349" t="s">
        <v>383</v>
      </c>
      <c r="J341" s="350" t="s">
        <v>250</v>
      </c>
      <c r="K341" s="350"/>
      <c r="L341" s="353" t="s">
        <v>383</v>
      </c>
      <c r="M341" s="381" t="s">
        <v>267</v>
      </c>
      <c r="N341" s="350"/>
      <c r="O341" s="350"/>
      <c r="P341" s="350"/>
      <c r="Q341" s="351"/>
      <c r="R341" s="351"/>
      <c r="S341" s="351"/>
      <c r="T341" s="351"/>
      <c r="U341" s="351"/>
      <c r="V341" s="351"/>
      <c r="W341" s="351"/>
      <c r="X341" s="365"/>
      <c r="Y341" s="444"/>
      <c r="Z341" s="445"/>
      <c r="AA341" s="445"/>
      <c r="AB341" s="565"/>
      <c r="AC341" s="154"/>
      <c r="AD341" s="147"/>
      <c r="AE341" s="147"/>
      <c r="AF341" s="148"/>
      <c r="AI341" s="109" t="str">
        <f>"39:field227:" &amp; IF(I341="■",1,IF(L341="■",2,0))</f>
        <v>39:field227:0</v>
      </c>
    </row>
    <row r="342" spans="1:35" ht="18.75" customHeight="1" x14ac:dyDescent="0.2">
      <c r="A342" s="139"/>
      <c r="B342" s="123"/>
      <c r="C342" s="140"/>
      <c r="D342" s="141"/>
      <c r="E342" s="128"/>
      <c r="F342" s="260"/>
      <c r="G342" s="318"/>
      <c r="H342" s="435" t="s">
        <v>442</v>
      </c>
      <c r="I342" s="349" t="s">
        <v>383</v>
      </c>
      <c r="J342" s="350" t="s">
        <v>250</v>
      </c>
      <c r="K342" s="350"/>
      <c r="L342" s="353" t="s">
        <v>383</v>
      </c>
      <c r="M342" s="350" t="s">
        <v>251</v>
      </c>
      <c r="N342" s="350"/>
      <c r="O342" s="353" t="s">
        <v>383</v>
      </c>
      <c r="P342" s="350" t="s">
        <v>252</v>
      </c>
      <c r="Q342" s="355"/>
      <c r="R342" s="355"/>
      <c r="S342" s="355"/>
      <c r="T342" s="355"/>
      <c r="U342" s="410"/>
      <c r="V342" s="410"/>
      <c r="W342" s="410"/>
      <c r="X342" s="411"/>
      <c r="Y342" s="444"/>
      <c r="Z342" s="445"/>
      <c r="AA342" s="445"/>
      <c r="AB342" s="565"/>
      <c r="AC342" s="154"/>
      <c r="AD342" s="147"/>
      <c r="AE342" s="147"/>
      <c r="AF342" s="148"/>
      <c r="AI342" s="109" t="str">
        <f>"39:field225:" &amp; IF(I342="■",1,IF(L342="■",2,IF(O342="■",3,0)))</f>
        <v>39:field225:0</v>
      </c>
    </row>
    <row r="343" spans="1:35" ht="18.75" customHeight="1" x14ac:dyDescent="0.2">
      <c r="A343" s="139"/>
      <c r="B343" s="123"/>
      <c r="C343" s="140"/>
      <c r="D343" s="141"/>
      <c r="E343" s="128"/>
      <c r="F343" s="260"/>
      <c r="G343" s="318"/>
      <c r="H343" s="508" t="s">
        <v>118</v>
      </c>
      <c r="I343" s="349" t="s">
        <v>383</v>
      </c>
      <c r="J343" s="350" t="s">
        <v>250</v>
      </c>
      <c r="K343" s="350"/>
      <c r="L343" s="353" t="s">
        <v>383</v>
      </c>
      <c r="M343" s="350" t="s">
        <v>258</v>
      </c>
      <c r="N343" s="350"/>
      <c r="O343" s="353" t="s">
        <v>383</v>
      </c>
      <c r="P343" s="350" t="s">
        <v>259</v>
      </c>
      <c r="Q343" s="531"/>
      <c r="R343" s="353" t="s">
        <v>383</v>
      </c>
      <c r="S343" s="350" t="s">
        <v>283</v>
      </c>
      <c r="T343" s="531"/>
      <c r="U343" s="531"/>
      <c r="V343" s="531"/>
      <c r="W343" s="531"/>
      <c r="X343" s="440"/>
      <c r="Y343" s="444"/>
      <c r="Z343" s="445"/>
      <c r="AA343" s="445"/>
      <c r="AB343" s="565"/>
      <c r="AC343" s="154"/>
      <c r="AD343" s="147"/>
      <c r="AE343" s="147"/>
      <c r="AF343" s="148"/>
      <c r="AI343" s="109" t="str">
        <f>"39:serteikyo_kyoka_code:" &amp; IF(I343="■",1,IF(L343="■",6,IF(O343="■",5,IF(R343="■",7,0))))</f>
        <v>39:serteikyo_kyoka_code:0</v>
      </c>
    </row>
    <row r="344" spans="1:35" s="621" customFormat="1" ht="20.399999999999999" customHeight="1" x14ac:dyDescent="0.2">
      <c r="A344" s="139"/>
      <c r="B344" s="670"/>
      <c r="C344" s="140"/>
      <c r="D344" s="141"/>
      <c r="E344" s="128"/>
      <c r="F344" s="142"/>
      <c r="G344" s="143"/>
      <c r="H344" s="713" t="s">
        <v>790</v>
      </c>
      <c r="I344" s="642" t="s">
        <v>383</v>
      </c>
      <c r="J344" s="616" t="s">
        <v>627</v>
      </c>
      <c r="K344" s="616"/>
      <c r="L344" s="615"/>
      <c r="M344" s="644" t="s">
        <v>383</v>
      </c>
      <c r="N344" s="616" t="s">
        <v>791</v>
      </c>
      <c r="O344" s="617"/>
      <c r="P344" s="615"/>
      <c r="Q344" s="644" t="s">
        <v>383</v>
      </c>
      <c r="R344" s="618" t="s">
        <v>792</v>
      </c>
      <c r="S344" s="615"/>
      <c r="T344" s="615"/>
      <c r="U344" s="615"/>
      <c r="V344" s="618"/>
      <c r="W344" s="619"/>
      <c r="X344" s="620"/>
      <c r="Y344" s="154"/>
      <c r="Z344" s="147"/>
      <c r="AA344" s="147"/>
      <c r="AB344" s="148"/>
      <c r="AC344" s="154"/>
      <c r="AD344" s="147"/>
      <c r="AE344" s="147"/>
      <c r="AF344" s="148"/>
    </row>
    <row r="345" spans="1:35" s="621" customFormat="1" ht="18.75" customHeight="1" x14ac:dyDescent="0.2">
      <c r="A345" s="183"/>
      <c r="B345" s="658"/>
      <c r="C345" s="185"/>
      <c r="D345" s="186"/>
      <c r="E345" s="187"/>
      <c r="F345" s="188"/>
      <c r="G345" s="189"/>
      <c r="H345" s="714"/>
      <c r="I345" s="643" t="s">
        <v>383</v>
      </c>
      <c r="J345" s="623" t="s">
        <v>793</v>
      </c>
      <c r="K345" s="623"/>
      <c r="L345" s="622"/>
      <c r="M345" s="211" t="s">
        <v>383</v>
      </c>
      <c r="N345" s="623" t="s">
        <v>794</v>
      </c>
      <c r="O345" s="624"/>
      <c r="P345" s="622"/>
      <c r="Q345" s="211" t="s">
        <v>383</v>
      </c>
      <c r="R345" s="623" t="s">
        <v>795</v>
      </c>
      <c r="S345" s="622"/>
      <c r="T345" s="623"/>
      <c r="U345" s="211" t="s">
        <v>383</v>
      </c>
      <c r="V345" s="623" t="s">
        <v>796</v>
      </c>
      <c r="W345" s="625"/>
      <c r="X345" s="626"/>
      <c r="Y345" s="194"/>
      <c r="Z345" s="192"/>
      <c r="AA345" s="192"/>
      <c r="AB345" s="193"/>
      <c r="AC345" s="194"/>
      <c r="AD345" s="192"/>
      <c r="AE345" s="192"/>
      <c r="AF345" s="193"/>
    </row>
    <row r="346" spans="1:35" ht="20.25" customHeight="1" x14ac:dyDescent="0.2"/>
    <row r="347" spans="1:35" ht="20.25" customHeight="1" x14ac:dyDescent="0.2">
      <c r="A347" s="681" t="s">
        <v>778</v>
      </c>
      <c r="B347" s="681"/>
      <c r="C347" s="681"/>
      <c r="D347" s="681"/>
      <c r="E347" s="681"/>
      <c r="F347" s="681"/>
      <c r="G347" s="681"/>
      <c r="H347" s="681"/>
      <c r="I347" s="681"/>
      <c r="J347" s="681"/>
      <c r="K347" s="681"/>
      <c r="L347" s="681"/>
      <c r="M347" s="681"/>
      <c r="N347" s="681"/>
      <c r="O347" s="681"/>
      <c r="P347" s="681"/>
      <c r="Q347" s="681"/>
      <c r="R347" s="681"/>
      <c r="S347" s="681"/>
      <c r="T347" s="681"/>
      <c r="U347" s="681"/>
      <c r="V347" s="681"/>
      <c r="W347" s="681"/>
      <c r="X347" s="681"/>
      <c r="Y347" s="681"/>
      <c r="Z347" s="681"/>
      <c r="AA347" s="681"/>
      <c r="AB347" s="681"/>
      <c r="AC347" s="681"/>
      <c r="AD347" s="681"/>
      <c r="AE347" s="681"/>
      <c r="AF347" s="681"/>
    </row>
    <row r="348" spans="1:35" ht="20.25" customHeight="1" x14ac:dyDescent="0.2">
      <c r="AG348" s="145" t="s">
        <v>779</v>
      </c>
    </row>
    <row r="349" spans="1:35" ht="30" customHeight="1" x14ac:dyDescent="0.2">
      <c r="A349" s="685" t="s">
        <v>787</v>
      </c>
      <c r="B349" s="686"/>
      <c r="C349" s="686"/>
      <c r="D349" s="686"/>
      <c r="E349" s="687"/>
      <c r="F349" s="685" t="s">
        <v>788</v>
      </c>
      <c r="G349" s="686"/>
      <c r="H349" s="686"/>
      <c r="I349" s="686"/>
      <c r="J349" s="687"/>
      <c r="K349" s="688" t="s">
        <v>789</v>
      </c>
      <c r="L349" s="689"/>
      <c r="M349" s="689"/>
      <c r="N349" s="689"/>
      <c r="O349" s="689"/>
      <c r="P349" s="689"/>
      <c r="Q349" s="689"/>
      <c r="R349" s="690"/>
      <c r="S349" s="682" t="s">
        <v>84</v>
      </c>
      <c r="T349" s="683"/>
      <c r="U349" s="683"/>
      <c r="V349" s="684"/>
      <c r="W349" s="112"/>
      <c r="X349" s="113"/>
      <c r="Y349" s="113"/>
      <c r="Z349" s="113"/>
      <c r="AA349" s="113"/>
      <c r="AB349" s="113"/>
      <c r="AC349" s="113"/>
      <c r="AD349" s="113"/>
      <c r="AE349" s="113"/>
      <c r="AF349" s="114"/>
      <c r="AG349" s="109" t="str">
        <f>"kaigo_num='" &amp;W349&amp;X349&amp;Y349&amp;Z349&amp;AA349&amp;AB349&amp;AC349&amp;AD349&amp;AE349&amp;AF349&amp; "'"</f>
        <v>kaigo_num=''</v>
      </c>
    </row>
    <row r="350" spans="1:35" ht="20.25" customHeight="1" x14ac:dyDescent="0.2">
      <c r="AG350" s="109"/>
    </row>
    <row r="351" spans="1:35" ht="18" customHeight="1" x14ac:dyDescent="0.2">
      <c r="A351" s="682" t="s">
        <v>85</v>
      </c>
      <c r="B351" s="683"/>
      <c r="C351" s="684"/>
      <c r="D351" s="682" t="s">
        <v>1</v>
      </c>
      <c r="E351" s="684"/>
      <c r="F351" s="841" t="s">
        <v>86</v>
      </c>
      <c r="G351" s="842"/>
      <c r="H351" s="682" t="s">
        <v>179</v>
      </c>
      <c r="I351" s="683"/>
      <c r="J351" s="683"/>
      <c r="K351" s="683"/>
      <c r="L351" s="683"/>
      <c r="M351" s="683"/>
      <c r="N351" s="683"/>
      <c r="O351" s="683"/>
      <c r="P351" s="683"/>
      <c r="Q351" s="683"/>
      <c r="R351" s="683"/>
      <c r="S351" s="683"/>
      <c r="T351" s="683"/>
      <c r="U351" s="683"/>
      <c r="V351" s="683"/>
      <c r="W351" s="683"/>
      <c r="X351" s="683"/>
      <c r="Y351" s="683"/>
      <c r="Z351" s="683"/>
      <c r="AA351" s="683"/>
      <c r="AB351" s="683"/>
      <c r="AC351" s="683"/>
      <c r="AD351" s="683"/>
      <c r="AE351" s="683"/>
      <c r="AF351" s="684"/>
      <c r="AG351" s="109"/>
    </row>
    <row r="352" spans="1:35" ht="18.75" customHeight="1" x14ac:dyDescent="0.2">
      <c r="A352" s="699" t="s">
        <v>88</v>
      </c>
      <c r="B352" s="700"/>
      <c r="C352" s="701"/>
      <c r="D352" s="115"/>
      <c r="E352" s="225"/>
      <c r="F352" s="131"/>
      <c r="G352" s="280"/>
      <c r="H352" s="705" t="s">
        <v>89</v>
      </c>
      <c r="I352" s="138" t="s">
        <v>383</v>
      </c>
      <c r="J352" s="119" t="s">
        <v>238</v>
      </c>
      <c r="K352" s="119"/>
      <c r="L352" s="119"/>
      <c r="M352" s="134" t="s">
        <v>383</v>
      </c>
      <c r="N352" s="119" t="s">
        <v>239</v>
      </c>
      <c r="O352" s="119"/>
      <c r="P352" s="119"/>
      <c r="Q352" s="134" t="s">
        <v>383</v>
      </c>
      <c r="R352" s="119" t="s">
        <v>240</v>
      </c>
      <c r="S352" s="119"/>
      <c r="T352" s="119"/>
      <c r="U352" s="134" t="s">
        <v>383</v>
      </c>
      <c r="V352" s="119" t="s">
        <v>241</v>
      </c>
      <c r="W352" s="119"/>
      <c r="X352" s="119"/>
      <c r="Y352" s="119"/>
      <c r="Z352" s="119"/>
      <c r="AA352" s="119"/>
      <c r="AB352" s="119"/>
      <c r="AC352" s="119"/>
      <c r="AD352" s="119"/>
      <c r="AE352" s="119"/>
      <c r="AF352" s="133"/>
      <c r="AG352" s="109" t="str">
        <f>"tiikikbn_code:"&amp; IF(I352="■",1,IF(M352="■",6,IF(Q352="■",7,IF(U352="■",2,IF(I353="■",3,IF(M353="■",4,IF(Q353="■",9,IF(U353="■",5,0))))))))</f>
        <v>tiikikbn_code:0</v>
      </c>
    </row>
    <row r="353" spans="1:37" ht="18.75" customHeight="1" x14ac:dyDescent="0.2">
      <c r="A353" s="783"/>
      <c r="B353" s="784"/>
      <c r="C353" s="785"/>
      <c r="D353" s="276"/>
      <c r="E353" s="228"/>
      <c r="F353" s="186"/>
      <c r="G353" s="213"/>
      <c r="H353" s="786"/>
      <c r="I353" s="277" t="s">
        <v>383</v>
      </c>
      <c r="J353" s="231" t="s">
        <v>242</v>
      </c>
      <c r="K353" s="231"/>
      <c r="L353" s="231"/>
      <c r="M353" s="211" t="s">
        <v>383</v>
      </c>
      <c r="N353" s="231" t="s">
        <v>243</v>
      </c>
      <c r="O353" s="231"/>
      <c r="P353" s="231"/>
      <c r="Q353" s="211" t="s">
        <v>383</v>
      </c>
      <c r="R353" s="231" t="s">
        <v>244</v>
      </c>
      <c r="S353" s="231"/>
      <c r="T353" s="231"/>
      <c r="U353" s="211" t="s">
        <v>383</v>
      </c>
      <c r="V353" s="231" t="s">
        <v>245</v>
      </c>
      <c r="W353" s="231"/>
      <c r="X353" s="231"/>
      <c r="Y353" s="265"/>
      <c r="Z353" s="265"/>
      <c r="AA353" s="265"/>
      <c r="AB353" s="265"/>
      <c r="AC353" s="265"/>
      <c r="AD353" s="265"/>
      <c r="AE353" s="265"/>
      <c r="AF353" s="228"/>
      <c r="AG353" s="109"/>
    </row>
    <row r="354" spans="1:37" ht="19.5" customHeight="1" x14ac:dyDescent="0.2">
      <c r="A354" s="139"/>
      <c r="B354" s="123"/>
      <c r="C354" s="140"/>
      <c r="D354" s="141"/>
      <c r="E354" s="128"/>
      <c r="F354" s="142"/>
      <c r="G354" s="143"/>
      <c r="H354" s="456" t="s">
        <v>430</v>
      </c>
      <c r="I354" s="349" t="s">
        <v>383</v>
      </c>
      <c r="J354" s="350" t="s">
        <v>395</v>
      </c>
      <c r="K354" s="351"/>
      <c r="L354" s="352"/>
      <c r="M354" s="353" t="s">
        <v>383</v>
      </c>
      <c r="N354" s="350" t="s">
        <v>431</v>
      </c>
      <c r="O354" s="350"/>
      <c r="P354" s="350"/>
      <c r="Q354" s="355"/>
      <c r="R354" s="355"/>
      <c r="S354" s="355"/>
      <c r="T354" s="355"/>
      <c r="U354" s="355"/>
      <c r="V354" s="355"/>
      <c r="W354" s="355"/>
      <c r="X354" s="355"/>
      <c r="Y354" s="355"/>
      <c r="Z354" s="355"/>
      <c r="AA354" s="355"/>
      <c r="AB354" s="355"/>
      <c r="AC354" s="355"/>
      <c r="AD354" s="355"/>
      <c r="AE354" s="355"/>
      <c r="AF354" s="566"/>
      <c r="AG354" s="109" t="str">
        <f>"ser_code = '" &amp; IF(A359="■","76S","") &amp; "'"</f>
        <v>ser_code = ''</v>
      </c>
      <c r="AH354" s="109"/>
      <c r="AI354" s="109" t="str">
        <f>"76S:field223:" &amp; IF(I354="■",1,IF(M354="■",2,0))</f>
        <v>76S:field223:0</v>
      </c>
      <c r="AJ354" s="109"/>
      <c r="AK354" s="109"/>
    </row>
    <row r="355" spans="1:37" ht="18.75" customHeight="1" x14ac:dyDescent="0.2">
      <c r="A355" s="139"/>
      <c r="B355" s="123"/>
      <c r="C355" s="237"/>
      <c r="D355" s="142"/>
      <c r="E355" s="128"/>
      <c r="F355" s="142"/>
      <c r="G355" s="270"/>
      <c r="H355" s="348" t="s">
        <v>448</v>
      </c>
      <c r="I355" s="349" t="s">
        <v>383</v>
      </c>
      <c r="J355" s="350" t="s">
        <v>395</v>
      </c>
      <c r="K355" s="351"/>
      <c r="L355" s="352"/>
      <c r="M355" s="353" t="s">
        <v>383</v>
      </c>
      <c r="N355" s="350" t="s">
        <v>431</v>
      </c>
      <c r="O355" s="354"/>
      <c r="P355" s="355"/>
      <c r="Q355" s="351"/>
      <c r="R355" s="351"/>
      <c r="S355" s="351"/>
      <c r="T355" s="351"/>
      <c r="U355" s="351"/>
      <c r="V355" s="351"/>
      <c r="W355" s="351"/>
      <c r="X355" s="351"/>
      <c r="Y355" s="567"/>
      <c r="Z355" s="567"/>
      <c r="AA355" s="567"/>
      <c r="AB355" s="567"/>
      <c r="AC355" s="567"/>
      <c r="AD355" s="567"/>
      <c r="AE355" s="567"/>
      <c r="AF355" s="566"/>
      <c r="AG355" s="109" t="str">
        <f>"76S:sisetukbn_code:" &amp; IF(D359="■",1,IF(D360="■",2,0))</f>
        <v>76S:sisetukbn_code:0</v>
      </c>
      <c r="AI355" s="109" t="str">
        <f>"76S:field232:" &amp; IF(I355="■",1,IF(M355="■",2,0))</f>
        <v>76S:field232:0</v>
      </c>
    </row>
    <row r="356" spans="1:37" ht="18.75" customHeight="1" x14ac:dyDescent="0.2">
      <c r="A356" s="139"/>
      <c r="B356" s="123"/>
      <c r="C356" s="237"/>
      <c r="D356" s="142"/>
      <c r="E356" s="128"/>
      <c r="F356" s="142"/>
      <c r="G356" s="270"/>
      <c r="H356" s="568" t="s">
        <v>137</v>
      </c>
      <c r="I356" s="537" t="s">
        <v>383</v>
      </c>
      <c r="J356" s="381" t="s">
        <v>250</v>
      </c>
      <c r="K356" s="419"/>
      <c r="L356" s="539" t="s">
        <v>383</v>
      </c>
      <c r="M356" s="381" t="s">
        <v>267</v>
      </c>
      <c r="N356" s="419"/>
      <c r="O356" s="436"/>
      <c r="P356" s="436"/>
      <c r="Q356" s="436"/>
      <c r="R356" s="436"/>
      <c r="S356" s="436"/>
      <c r="T356" s="436"/>
      <c r="U356" s="436"/>
      <c r="V356" s="436"/>
      <c r="W356" s="436"/>
      <c r="X356" s="436"/>
      <c r="Y356" s="436"/>
      <c r="Z356" s="436"/>
      <c r="AA356" s="436"/>
      <c r="AB356" s="436"/>
      <c r="AC356" s="436"/>
      <c r="AD356" s="436"/>
      <c r="AE356" s="436"/>
      <c r="AF356" s="437"/>
      <c r="AG356" s="109"/>
      <c r="AH356" s="109"/>
      <c r="AI356" s="109" t="str">
        <f>"76S:tokutiiki_code:" &amp; IF(I356="■",1,IF(L356="■",2,0))</f>
        <v>76S:tokutiiki_code:0</v>
      </c>
      <c r="AJ356" s="109"/>
      <c r="AK356" s="109"/>
    </row>
    <row r="357" spans="1:37" ht="18.75" customHeight="1" x14ac:dyDescent="0.2">
      <c r="A357" s="139"/>
      <c r="B357" s="123"/>
      <c r="C357" s="237"/>
      <c r="D357" s="142"/>
      <c r="E357" s="128"/>
      <c r="F357" s="142"/>
      <c r="G357" s="270"/>
      <c r="H357" s="790" t="s">
        <v>209</v>
      </c>
      <c r="I357" s="797" t="s">
        <v>383</v>
      </c>
      <c r="J357" s="796" t="s">
        <v>256</v>
      </c>
      <c r="K357" s="796"/>
      <c r="L357" s="796"/>
      <c r="M357" s="797" t="s">
        <v>383</v>
      </c>
      <c r="N357" s="796" t="s">
        <v>257</v>
      </c>
      <c r="O357" s="796"/>
      <c r="P357" s="796"/>
      <c r="Q357" s="410"/>
      <c r="R357" s="410"/>
      <c r="S357" s="410"/>
      <c r="T357" s="410"/>
      <c r="U357" s="410"/>
      <c r="V357" s="410"/>
      <c r="W357" s="410"/>
      <c r="X357" s="410"/>
      <c r="Y357" s="410"/>
      <c r="Z357" s="410"/>
      <c r="AA357" s="410"/>
      <c r="AB357" s="410"/>
      <c r="AC357" s="410"/>
      <c r="AD357" s="410"/>
      <c r="AE357" s="410"/>
      <c r="AF357" s="411"/>
      <c r="AI357" s="109" t="str">
        <f>"76S:chuusankanti_tiiki_code:" &amp; IF(I357="■",1,IF(M357="■",2,0))</f>
        <v>76S:chuusankanti_tiiki_code:0</v>
      </c>
    </row>
    <row r="358" spans="1:37" ht="18.75" customHeight="1" x14ac:dyDescent="0.2">
      <c r="A358" s="139"/>
      <c r="B358" s="123"/>
      <c r="C358" s="237"/>
      <c r="D358" s="142"/>
      <c r="E358" s="128"/>
      <c r="F358" s="142"/>
      <c r="G358" s="270"/>
      <c r="H358" s="791"/>
      <c r="I358" s="793"/>
      <c r="J358" s="795"/>
      <c r="K358" s="795"/>
      <c r="L358" s="795"/>
      <c r="M358" s="793"/>
      <c r="N358" s="795"/>
      <c r="O358" s="795"/>
      <c r="P358" s="795"/>
      <c r="Q358" s="436"/>
      <c r="R358" s="436"/>
      <c r="S358" s="436"/>
      <c r="T358" s="436"/>
      <c r="U358" s="436"/>
      <c r="V358" s="436"/>
      <c r="W358" s="436"/>
      <c r="X358" s="436"/>
      <c r="Y358" s="436"/>
      <c r="Z358" s="436"/>
      <c r="AA358" s="436"/>
      <c r="AB358" s="436"/>
      <c r="AC358" s="436"/>
      <c r="AD358" s="436"/>
      <c r="AE358" s="436"/>
      <c r="AF358" s="437"/>
      <c r="AI358" s="109"/>
    </row>
    <row r="359" spans="1:37" ht="18.75" customHeight="1" x14ac:dyDescent="0.2">
      <c r="A359" s="125" t="s">
        <v>383</v>
      </c>
      <c r="B359" s="123">
        <v>76</v>
      </c>
      <c r="C359" s="237" t="s">
        <v>607</v>
      </c>
      <c r="D359" s="125" t="s">
        <v>383</v>
      </c>
      <c r="E359" s="128" t="s">
        <v>517</v>
      </c>
      <c r="F359" s="142"/>
      <c r="G359" s="270"/>
      <c r="H359" s="790" t="s">
        <v>210</v>
      </c>
      <c r="I359" s="797" t="s">
        <v>383</v>
      </c>
      <c r="J359" s="796" t="s">
        <v>256</v>
      </c>
      <c r="K359" s="796"/>
      <c r="L359" s="796"/>
      <c r="M359" s="797" t="s">
        <v>383</v>
      </c>
      <c r="N359" s="796" t="s">
        <v>257</v>
      </c>
      <c r="O359" s="796"/>
      <c r="P359" s="796"/>
      <c r="Q359" s="410"/>
      <c r="R359" s="410"/>
      <c r="S359" s="410"/>
      <c r="T359" s="410"/>
      <c r="U359" s="410"/>
      <c r="V359" s="410"/>
      <c r="W359" s="410"/>
      <c r="X359" s="410"/>
      <c r="Y359" s="410"/>
      <c r="Z359" s="410"/>
      <c r="AA359" s="410"/>
      <c r="AB359" s="410"/>
      <c r="AC359" s="410"/>
      <c r="AD359" s="410"/>
      <c r="AE359" s="410"/>
      <c r="AF359" s="411"/>
      <c r="AI359" s="109" t="str">
        <f>"76S:chuusankanti_kibo_code:" &amp; IF(I359="■",1,IF(M359="■",2,0))</f>
        <v>76S:chuusankanti_kibo_code:0</v>
      </c>
    </row>
    <row r="360" spans="1:37" ht="18.75" customHeight="1" x14ac:dyDescent="0.2">
      <c r="A360" s="139"/>
      <c r="B360" s="123"/>
      <c r="C360" s="237" t="s">
        <v>518</v>
      </c>
      <c r="D360" s="125" t="s">
        <v>383</v>
      </c>
      <c r="E360" s="128" t="s">
        <v>519</v>
      </c>
      <c r="F360" s="142"/>
      <c r="G360" s="270"/>
      <c r="H360" s="791"/>
      <c r="I360" s="793"/>
      <c r="J360" s="795"/>
      <c r="K360" s="795"/>
      <c r="L360" s="795"/>
      <c r="M360" s="793"/>
      <c r="N360" s="795"/>
      <c r="O360" s="795"/>
      <c r="P360" s="795"/>
      <c r="Q360" s="436"/>
      <c r="R360" s="436"/>
      <c r="S360" s="436"/>
      <c r="T360" s="436"/>
      <c r="U360" s="436"/>
      <c r="V360" s="436"/>
      <c r="W360" s="436"/>
      <c r="X360" s="436"/>
      <c r="Y360" s="436"/>
      <c r="Z360" s="436"/>
      <c r="AA360" s="436"/>
      <c r="AB360" s="436"/>
      <c r="AC360" s="436"/>
      <c r="AD360" s="436"/>
      <c r="AE360" s="436"/>
      <c r="AF360" s="437"/>
    </row>
    <row r="361" spans="1:37" ht="18.75" customHeight="1" x14ac:dyDescent="0.2">
      <c r="A361" s="139"/>
      <c r="B361" s="123"/>
      <c r="C361" s="237"/>
      <c r="D361" s="142"/>
      <c r="E361" s="128"/>
      <c r="F361" s="142"/>
      <c r="G361" s="270"/>
      <c r="H361" s="508" t="s">
        <v>520</v>
      </c>
      <c r="I361" s="349" t="s">
        <v>383</v>
      </c>
      <c r="J361" s="350" t="s">
        <v>250</v>
      </c>
      <c r="K361" s="351"/>
      <c r="L361" s="353" t="s">
        <v>383</v>
      </c>
      <c r="M361" s="350" t="s">
        <v>268</v>
      </c>
      <c r="N361" s="350"/>
      <c r="O361" s="561" t="s">
        <v>383</v>
      </c>
      <c r="P361" s="375" t="s">
        <v>269</v>
      </c>
      <c r="Q361" s="350"/>
      <c r="R361" s="350"/>
      <c r="S361" s="351"/>
      <c r="T361" s="351"/>
      <c r="U361" s="351"/>
      <c r="V361" s="351"/>
      <c r="W361" s="351"/>
      <c r="X361" s="351"/>
      <c r="Y361" s="350"/>
      <c r="Z361" s="350"/>
      <c r="AA361" s="350"/>
      <c r="AB361" s="350"/>
      <c r="AC361" s="350"/>
      <c r="AD361" s="350"/>
      <c r="AE361" s="350"/>
      <c r="AF361" s="459"/>
      <c r="AI361" s="109" t="str">
        <f>"76S:kinkyu_code:"&amp;IF(I361="■",1,IF(O361="■",3,IF(L361="■",2,0)))</f>
        <v>76S:kinkyu_code:0</v>
      </c>
    </row>
    <row r="362" spans="1:37" ht="18.75" customHeight="1" x14ac:dyDescent="0.2">
      <c r="A362" s="139"/>
      <c r="B362" s="123"/>
      <c r="C362" s="237"/>
      <c r="D362" s="142"/>
      <c r="E362" s="128"/>
      <c r="F362" s="142"/>
      <c r="G362" s="270"/>
      <c r="H362" s="569" t="s">
        <v>521</v>
      </c>
      <c r="I362" s="349" t="s">
        <v>383</v>
      </c>
      <c r="J362" s="350" t="s">
        <v>265</v>
      </c>
      <c r="K362" s="351"/>
      <c r="L362" s="531"/>
      <c r="M362" s="353" t="s">
        <v>383</v>
      </c>
      <c r="N362" s="350" t="s">
        <v>266</v>
      </c>
      <c r="O362" s="355"/>
      <c r="P362" s="355"/>
      <c r="Q362" s="355"/>
      <c r="R362" s="350"/>
      <c r="S362" s="350"/>
      <c r="T362" s="350"/>
      <c r="U362" s="350"/>
      <c r="V362" s="350"/>
      <c r="W362" s="350"/>
      <c r="X362" s="350"/>
      <c r="Y362" s="350"/>
      <c r="Z362" s="350"/>
      <c r="AA362" s="350"/>
      <c r="AB362" s="350"/>
      <c r="AC362" s="350"/>
      <c r="AD362" s="350"/>
      <c r="AE362" s="350"/>
      <c r="AF362" s="459"/>
      <c r="AI362" s="109" t="str">
        <f>"76S:tokukanri_code:" &amp; IF(I362="■",1,IF(M362="■",2,0))</f>
        <v>76S:tokukanri_code:0</v>
      </c>
    </row>
    <row r="363" spans="1:37" ht="18.75" customHeight="1" x14ac:dyDescent="0.2">
      <c r="A363" s="139"/>
      <c r="B363" s="123"/>
      <c r="C363" s="237"/>
      <c r="D363" s="142"/>
      <c r="E363" s="128"/>
      <c r="F363" s="142"/>
      <c r="G363" s="270"/>
      <c r="H363" s="569" t="s">
        <v>91</v>
      </c>
      <c r="I363" s="349" t="s">
        <v>383</v>
      </c>
      <c r="J363" s="350" t="s">
        <v>250</v>
      </c>
      <c r="K363" s="351"/>
      <c r="L363" s="353" t="s">
        <v>383</v>
      </c>
      <c r="M363" s="350" t="s">
        <v>267</v>
      </c>
      <c r="N363" s="531"/>
      <c r="O363" s="350"/>
      <c r="P363" s="350"/>
      <c r="Q363" s="350"/>
      <c r="R363" s="350"/>
      <c r="S363" s="350"/>
      <c r="T363" s="350"/>
      <c r="U363" s="350"/>
      <c r="V363" s="350"/>
      <c r="W363" s="350"/>
      <c r="X363" s="350"/>
      <c r="Y363" s="350"/>
      <c r="Z363" s="350"/>
      <c r="AA363" s="350"/>
      <c r="AB363" s="350"/>
      <c r="AC363" s="350"/>
      <c r="AD363" s="350"/>
      <c r="AE363" s="350"/>
      <c r="AF363" s="459"/>
      <c r="AI363" s="109" t="str">
        <f>"76S:terminal_code:" &amp; IF(I363="■",1,IF(L363="■",2,0))</f>
        <v>76S:terminal_code:0</v>
      </c>
    </row>
    <row r="364" spans="1:37" ht="18.75" customHeight="1" x14ac:dyDescent="0.2">
      <c r="A364" s="139"/>
      <c r="B364" s="123"/>
      <c r="C364" s="237"/>
      <c r="D364" s="142"/>
      <c r="E364" s="128"/>
      <c r="F364" s="142"/>
      <c r="G364" s="270"/>
      <c r="H364" s="508" t="s">
        <v>522</v>
      </c>
      <c r="I364" s="349" t="s">
        <v>383</v>
      </c>
      <c r="J364" s="350" t="s">
        <v>250</v>
      </c>
      <c r="K364" s="351"/>
      <c r="L364" s="353" t="s">
        <v>383</v>
      </c>
      <c r="M364" s="350" t="s">
        <v>268</v>
      </c>
      <c r="N364" s="350"/>
      <c r="O364" s="561" t="s">
        <v>383</v>
      </c>
      <c r="P364" s="375" t="s">
        <v>269</v>
      </c>
      <c r="Q364" s="350"/>
      <c r="R364" s="350"/>
      <c r="S364" s="351"/>
      <c r="T364" s="350"/>
      <c r="U364" s="351"/>
      <c r="V364" s="351"/>
      <c r="W364" s="351"/>
      <c r="X364" s="351"/>
      <c r="Y364" s="350"/>
      <c r="Z364" s="350"/>
      <c r="AA364" s="350"/>
      <c r="AB364" s="350"/>
      <c r="AC364" s="350"/>
      <c r="AD364" s="350"/>
      <c r="AE364" s="350"/>
      <c r="AF364" s="459"/>
      <c r="AI364" s="109" t="str">
        <f>"76S:field168:" &amp; IF(I364="■",1,IF(L364="■",3,IF(O364="■",2,0)))</f>
        <v>76S:field168:0</v>
      </c>
    </row>
    <row r="365" spans="1:37" ht="18.75" customHeight="1" x14ac:dyDescent="0.2">
      <c r="A365" s="139"/>
      <c r="B365" s="123"/>
      <c r="C365" s="237"/>
      <c r="D365" s="142"/>
      <c r="E365" s="128"/>
      <c r="F365" s="142"/>
      <c r="G365" s="270"/>
      <c r="H365" s="569" t="s">
        <v>116</v>
      </c>
      <c r="I365" s="349" t="s">
        <v>383</v>
      </c>
      <c r="J365" s="350" t="s">
        <v>250</v>
      </c>
      <c r="K365" s="350"/>
      <c r="L365" s="353" t="s">
        <v>383</v>
      </c>
      <c r="M365" s="350" t="s">
        <v>251</v>
      </c>
      <c r="N365" s="350"/>
      <c r="O365" s="353" t="s">
        <v>383</v>
      </c>
      <c r="P365" s="350" t="s">
        <v>252</v>
      </c>
      <c r="Q365" s="531"/>
      <c r="R365" s="531"/>
      <c r="S365" s="531"/>
      <c r="T365" s="531"/>
      <c r="U365" s="350"/>
      <c r="V365" s="350"/>
      <c r="W365" s="350"/>
      <c r="X365" s="350"/>
      <c r="Y365" s="350"/>
      <c r="Z365" s="350"/>
      <c r="AA365" s="350"/>
      <c r="AB365" s="350"/>
      <c r="AC365" s="350"/>
      <c r="AD365" s="350"/>
      <c r="AE365" s="350"/>
      <c r="AF365" s="459"/>
      <c r="AI365" s="109" t="str">
        <f>"76S:ninti_senmoncare_code:" &amp; IF(I365="■",1,IF(O365="■",3,IF(L365="■",2,0)))</f>
        <v>76S:ninti_senmoncare_code:0</v>
      </c>
    </row>
    <row r="366" spans="1:37" ht="19.5" customHeight="1" x14ac:dyDescent="0.2">
      <c r="A366" s="183"/>
      <c r="B366" s="184"/>
      <c r="C366" s="185"/>
      <c r="D366" s="186"/>
      <c r="E366" s="187"/>
      <c r="F366" s="188"/>
      <c r="G366" s="189"/>
      <c r="H366" s="570" t="s">
        <v>433</v>
      </c>
      <c r="I366" s="497" t="s">
        <v>383</v>
      </c>
      <c r="J366" s="360" t="s">
        <v>250</v>
      </c>
      <c r="K366" s="360"/>
      <c r="L366" s="498" t="s">
        <v>383</v>
      </c>
      <c r="M366" s="360" t="s">
        <v>267</v>
      </c>
      <c r="N366" s="360"/>
      <c r="O366" s="499"/>
      <c r="P366" s="360"/>
      <c r="Q366" s="499"/>
      <c r="R366" s="499"/>
      <c r="S366" s="499"/>
      <c r="T366" s="499"/>
      <c r="U366" s="499"/>
      <c r="V366" s="499"/>
      <c r="W366" s="499"/>
      <c r="X366" s="499"/>
      <c r="Y366" s="499"/>
      <c r="Z366" s="499"/>
      <c r="AA366" s="499"/>
      <c r="AB366" s="499"/>
      <c r="AC366" s="499"/>
      <c r="AD366" s="499"/>
      <c r="AE366" s="499"/>
      <c r="AF366" s="361"/>
      <c r="AI366" s="109" t="str">
        <f>"76S:field224:" &amp; IF(I366="■",1,IF(L366="■",2,0))</f>
        <v>76S:field224:0</v>
      </c>
    </row>
    <row r="367" spans="1:37" ht="19.5" customHeight="1" x14ac:dyDescent="0.2">
      <c r="A367" s="139"/>
      <c r="B367" s="123"/>
      <c r="C367" s="140"/>
      <c r="D367" s="141"/>
      <c r="E367" s="128"/>
      <c r="F367" s="142"/>
      <c r="G367" s="143"/>
      <c r="H367" s="456" t="s">
        <v>430</v>
      </c>
      <c r="I367" s="367" t="s">
        <v>383</v>
      </c>
      <c r="J367" s="368" t="s">
        <v>395</v>
      </c>
      <c r="K367" s="369"/>
      <c r="L367" s="370"/>
      <c r="M367" s="371" t="s">
        <v>383</v>
      </c>
      <c r="N367" s="368" t="s">
        <v>431</v>
      </c>
      <c r="O367" s="512"/>
      <c r="P367" s="368"/>
      <c r="Q367" s="372"/>
      <c r="R367" s="372"/>
      <c r="S367" s="372"/>
      <c r="T367" s="372"/>
      <c r="U367" s="372"/>
      <c r="V367" s="372"/>
      <c r="W367" s="372"/>
      <c r="X367" s="372"/>
      <c r="Y367" s="372"/>
      <c r="Z367" s="372"/>
      <c r="AA367" s="372"/>
      <c r="AB367" s="372"/>
      <c r="AC367" s="372"/>
      <c r="AD367" s="372"/>
      <c r="AE367" s="372"/>
      <c r="AF367" s="571"/>
      <c r="AG367" s="109" t="str">
        <f>"ser_code = '" &amp; IF(A370="■","71S","") &amp; "'"</f>
        <v>ser_code = ''</v>
      </c>
      <c r="AH367" s="109"/>
      <c r="AI367" s="109" t="str">
        <f>"71S:field223:" &amp; IF(I367="■",1,IF(M367="■",2,0))</f>
        <v>71S:field223:0</v>
      </c>
      <c r="AJ367" s="109"/>
      <c r="AK367" s="109"/>
    </row>
    <row r="368" spans="1:37" ht="18.75" customHeight="1" x14ac:dyDescent="0.2">
      <c r="A368" s="139"/>
      <c r="B368" s="123"/>
      <c r="C368" s="237"/>
      <c r="D368" s="142"/>
      <c r="E368" s="128"/>
      <c r="F368" s="142"/>
      <c r="G368" s="270"/>
      <c r="H368" s="348" t="s">
        <v>448</v>
      </c>
      <c r="I368" s="349" t="s">
        <v>383</v>
      </c>
      <c r="J368" s="350" t="s">
        <v>395</v>
      </c>
      <c r="K368" s="351"/>
      <c r="L368" s="352"/>
      <c r="M368" s="353" t="s">
        <v>383</v>
      </c>
      <c r="N368" s="350" t="s">
        <v>431</v>
      </c>
      <c r="O368" s="354"/>
      <c r="P368" s="355"/>
      <c r="Q368" s="351"/>
      <c r="R368" s="351"/>
      <c r="S368" s="351"/>
      <c r="T368" s="351"/>
      <c r="U368" s="351"/>
      <c r="V368" s="351"/>
      <c r="W368" s="351"/>
      <c r="X368" s="351"/>
      <c r="Y368" s="567"/>
      <c r="Z368" s="567"/>
      <c r="AA368" s="567"/>
      <c r="AB368" s="567"/>
      <c r="AC368" s="567"/>
      <c r="AD368" s="567"/>
      <c r="AE368" s="567"/>
      <c r="AF368" s="566"/>
      <c r="AG368" s="109" t="str">
        <f>"71S:sisetukbn_code:" &amp; IF(D370="■",1,IF(D371="■",2,0))</f>
        <v>71S:sisetukbn_code:0</v>
      </c>
      <c r="AI368" s="109" t="str">
        <f>"71S:field232:" &amp; IF(I368="■",1,IF(M368="■",2,0))</f>
        <v>71S:field232:0</v>
      </c>
    </row>
    <row r="369" spans="1:35" ht="18.75" customHeight="1" x14ac:dyDescent="0.2">
      <c r="A369" s="139"/>
      <c r="B369" s="123"/>
      <c r="C369" s="237"/>
      <c r="D369" s="142"/>
      <c r="E369" s="128"/>
      <c r="F369" s="142"/>
      <c r="G369" s="270"/>
      <c r="H369" s="568" t="s">
        <v>523</v>
      </c>
      <c r="I369" s="537" t="s">
        <v>383</v>
      </c>
      <c r="J369" s="381" t="s">
        <v>265</v>
      </c>
      <c r="K369" s="419"/>
      <c r="L369" s="533"/>
      <c r="M369" s="539" t="s">
        <v>383</v>
      </c>
      <c r="N369" s="381" t="s">
        <v>266</v>
      </c>
      <c r="O369" s="436"/>
      <c r="P369" s="436"/>
      <c r="Q369" s="436"/>
      <c r="R369" s="381"/>
      <c r="S369" s="381"/>
      <c r="T369" s="381"/>
      <c r="U369" s="381"/>
      <c r="V369" s="381"/>
      <c r="W369" s="381"/>
      <c r="X369" s="381"/>
      <c r="Y369" s="381"/>
      <c r="Z369" s="381"/>
      <c r="AA369" s="381"/>
      <c r="AB369" s="381"/>
      <c r="AC369" s="381"/>
      <c r="AD369" s="381"/>
      <c r="AE369" s="381"/>
      <c r="AF369" s="442"/>
      <c r="AG369" s="109"/>
      <c r="AI369" s="109" t="str">
        <f>"71S:tuuhoutaiou_code:" &amp; IF(I369="■",1,IF(M369="■",2,0))</f>
        <v>71S:tuuhoutaiou_code:0</v>
      </c>
    </row>
    <row r="370" spans="1:35" ht="18.75" customHeight="1" x14ac:dyDescent="0.2">
      <c r="A370" s="125" t="s">
        <v>383</v>
      </c>
      <c r="B370" s="123">
        <v>71</v>
      </c>
      <c r="C370" s="237" t="s">
        <v>524</v>
      </c>
      <c r="D370" s="125" t="s">
        <v>383</v>
      </c>
      <c r="E370" s="128" t="s">
        <v>379</v>
      </c>
      <c r="F370" s="142"/>
      <c r="G370" s="270"/>
      <c r="H370" s="569" t="s">
        <v>137</v>
      </c>
      <c r="I370" s="349" t="s">
        <v>383</v>
      </c>
      <c r="J370" s="350" t="s">
        <v>250</v>
      </c>
      <c r="K370" s="351"/>
      <c r="L370" s="353" t="s">
        <v>383</v>
      </c>
      <c r="M370" s="350" t="s">
        <v>267</v>
      </c>
      <c r="N370" s="531"/>
      <c r="O370" s="350"/>
      <c r="P370" s="350"/>
      <c r="Q370" s="350"/>
      <c r="R370" s="350"/>
      <c r="S370" s="350"/>
      <c r="T370" s="350"/>
      <c r="U370" s="350"/>
      <c r="V370" s="350"/>
      <c r="W370" s="350"/>
      <c r="X370" s="350"/>
      <c r="Y370" s="350"/>
      <c r="Z370" s="350"/>
      <c r="AA370" s="350"/>
      <c r="AB370" s="350"/>
      <c r="AC370" s="350"/>
      <c r="AD370" s="350"/>
      <c r="AE370" s="350"/>
      <c r="AF370" s="459"/>
      <c r="AI370" s="109" t="str">
        <f>"71S:tokutiiki_code:" &amp; IF(I370="■",1,IF(L370="■",2,0))</f>
        <v>71S:tokutiiki_code:0</v>
      </c>
    </row>
    <row r="371" spans="1:35" ht="18.75" customHeight="1" x14ac:dyDescent="0.2">
      <c r="A371" s="139"/>
      <c r="B371" s="123"/>
      <c r="C371" s="237"/>
      <c r="D371" s="125" t="s">
        <v>383</v>
      </c>
      <c r="E371" s="128" t="s">
        <v>365</v>
      </c>
      <c r="F371" s="142"/>
      <c r="G371" s="270"/>
      <c r="H371" s="790" t="s">
        <v>209</v>
      </c>
      <c r="I371" s="797" t="s">
        <v>383</v>
      </c>
      <c r="J371" s="796" t="s">
        <v>256</v>
      </c>
      <c r="K371" s="796"/>
      <c r="L371" s="796"/>
      <c r="M371" s="797" t="s">
        <v>383</v>
      </c>
      <c r="N371" s="796" t="s">
        <v>257</v>
      </c>
      <c r="O371" s="796"/>
      <c r="P371" s="796"/>
      <c r="Q371" s="410"/>
      <c r="R371" s="410"/>
      <c r="S371" s="410"/>
      <c r="T371" s="410"/>
      <c r="U371" s="410"/>
      <c r="V371" s="410"/>
      <c r="W371" s="410"/>
      <c r="X371" s="410"/>
      <c r="Y371" s="410"/>
      <c r="Z371" s="410"/>
      <c r="AA371" s="410"/>
      <c r="AB371" s="410"/>
      <c r="AC371" s="410"/>
      <c r="AD371" s="410"/>
      <c r="AE371" s="410"/>
      <c r="AF371" s="411"/>
      <c r="AI371" s="109" t="str">
        <f>"71S:chuusankanti_tiiki_code:" &amp; IF(I371="■",1,IF(M371="■",2,0))</f>
        <v>71S:chuusankanti_tiiki_code:0</v>
      </c>
    </row>
    <row r="372" spans="1:35" ht="18.75" customHeight="1" x14ac:dyDescent="0.2">
      <c r="A372" s="139"/>
      <c r="B372" s="123"/>
      <c r="C372" s="237"/>
      <c r="D372" s="142"/>
      <c r="E372" s="128"/>
      <c r="F372" s="142"/>
      <c r="G372" s="270"/>
      <c r="H372" s="791"/>
      <c r="I372" s="793"/>
      <c r="J372" s="795"/>
      <c r="K372" s="795"/>
      <c r="L372" s="795"/>
      <c r="M372" s="793"/>
      <c r="N372" s="795"/>
      <c r="O372" s="795"/>
      <c r="P372" s="795"/>
      <c r="Q372" s="436"/>
      <c r="R372" s="436"/>
      <c r="S372" s="436"/>
      <c r="T372" s="436"/>
      <c r="U372" s="436"/>
      <c r="V372" s="436"/>
      <c r="W372" s="436"/>
      <c r="X372" s="436"/>
      <c r="Y372" s="436"/>
      <c r="Z372" s="436"/>
      <c r="AA372" s="436"/>
      <c r="AB372" s="436"/>
      <c r="AC372" s="436"/>
      <c r="AD372" s="436"/>
      <c r="AE372" s="436"/>
      <c r="AF372" s="437"/>
      <c r="AI372" s="109"/>
    </row>
    <row r="373" spans="1:35" ht="18.75" customHeight="1" x14ac:dyDescent="0.2">
      <c r="A373" s="183"/>
      <c r="B373" s="184"/>
      <c r="C373" s="264"/>
      <c r="D373" s="188"/>
      <c r="E373" s="187"/>
      <c r="F373" s="188"/>
      <c r="G373" s="267"/>
      <c r="H373" s="321" t="s">
        <v>116</v>
      </c>
      <c r="I373" s="190" t="s">
        <v>383</v>
      </c>
      <c r="J373" s="222" t="s">
        <v>250</v>
      </c>
      <c r="K373" s="222"/>
      <c r="L373" s="191" t="s">
        <v>383</v>
      </c>
      <c r="M373" s="222" t="s">
        <v>251</v>
      </c>
      <c r="N373" s="222"/>
      <c r="O373" s="191" t="s">
        <v>383</v>
      </c>
      <c r="P373" s="222" t="s">
        <v>252</v>
      </c>
      <c r="Q373" s="311"/>
      <c r="R373" s="311"/>
      <c r="S373" s="222"/>
      <c r="T373" s="222"/>
      <c r="U373" s="222"/>
      <c r="V373" s="222"/>
      <c r="W373" s="222"/>
      <c r="X373" s="222"/>
      <c r="Y373" s="222"/>
      <c r="Z373" s="222"/>
      <c r="AA373" s="222"/>
      <c r="AB373" s="222"/>
      <c r="AC373" s="222"/>
      <c r="AD373" s="222"/>
      <c r="AE373" s="222"/>
      <c r="AF373" s="285"/>
      <c r="AI373" s="109" t="str">
        <f>"71S:ninti_senmoncare_code:" &amp; IF(I373="■",1,IF(O373="■",3,IF(L373="■",2,0)))</f>
        <v>71S:ninti_senmoncare_code:0</v>
      </c>
    </row>
    <row r="374" spans="1:35" ht="18.75" customHeight="1" x14ac:dyDescent="0.2">
      <c r="A374" s="139"/>
      <c r="B374" s="123"/>
      <c r="C374" s="237"/>
      <c r="D374" s="142"/>
      <c r="E374" s="128"/>
      <c r="F374" s="142"/>
      <c r="G374" s="270"/>
      <c r="H374" s="291" t="s">
        <v>93</v>
      </c>
      <c r="I374" s="150" t="s">
        <v>383</v>
      </c>
      <c r="J374" s="169" t="s">
        <v>250</v>
      </c>
      <c r="K374" s="169"/>
      <c r="L374" s="254"/>
      <c r="M374" s="203" t="s">
        <v>383</v>
      </c>
      <c r="N374" s="169" t="s">
        <v>281</v>
      </c>
      <c r="O374" s="169"/>
      <c r="P374" s="254"/>
      <c r="Q374" s="203" t="s">
        <v>383</v>
      </c>
      <c r="R374" s="151" t="s">
        <v>282</v>
      </c>
      <c r="S374" s="151"/>
      <c r="T374" s="151"/>
      <c r="U374" s="151"/>
      <c r="V374" s="169"/>
      <c r="W374" s="169"/>
      <c r="X374" s="169"/>
      <c r="Y374" s="169"/>
      <c r="Z374" s="169"/>
      <c r="AA374" s="169"/>
      <c r="AB374" s="169"/>
      <c r="AC374" s="169"/>
      <c r="AD374" s="169"/>
      <c r="AE374" s="169"/>
      <c r="AF374" s="170"/>
      <c r="AG374" s="109" t="str">
        <f>"ser_code = '" &amp; IF(A386="■","78S","") &amp; "'"</f>
        <v>ser_code = ''</v>
      </c>
      <c r="AH374" s="109"/>
      <c r="AI374" s="109" t="str">
        <f>"78S:"&amp;IF(AND(I374="□",M374="□",Q374="□"),"ketu_kangos_code:0",IF(I374="■","ketu_kangos_code:1:ketu_kshoku_code:1",IF(M374="■","ketu_kangos_code:2","ketu_kangos_code:1")&amp;IF(Q374="■",":ketu_kshoku_code:2",":ketu_kshoku_code:1")))</f>
        <v>78S:ketu_kangos_code:0</v>
      </c>
    </row>
    <row r="375" spans="1:35" ht="19.5" customHeight="1" x14ac:dyDescent="0.2">
      <c r="A375" s="139"/>
      <c r="B375" s="123"/>
      <c r="C375" s="140"/>
      <c r="D375" s="141"/>
      <c r="E375" s="128"/>
      <c r="F375" s="142"/>
      <c r="G375" s="143"/>
      <c r="H375" s="155" t="s">
        <v>430</v>
      </c>
      <c r="I375" s="156" t="s">
        <v>383</v>
      </c>
      <c r="J375" s="157" t="s">
        <v>395</v>
      </c>
      <c r="K375" s="158"/>
      <c r="L375" s="159"/>
      <c r="M375" s="160" t="s">
        <v>383</v>
      </c>
      <c r="N375" s="157" t="s">
        <v>431</v>
      </c>
      <c r="O375" s="161"/>
      <c r="P375" s="157"/>
      <c r="Q375" s="162"/>
      <c r="R375" s="162"/>
      <c r="S375" s="162"/>
      <c r="T375" s="162"/>
      <c r="U375" s="162"/>
      <c r="V375" s="162"/>
      <c r="W375" s="162"/>
      <c r="X375" s="162"/>
      <c r="Y375" s="162"/>
      <c r="Z375" s="162"/>
      <c r="AA375" s="162"/>
      <c r="AB375" s="162"/>
      <c r="AC375" s="162"/>
      <c r="AD375" s="162"/>
      <c r="AE375" s="162"/>
      <c r="AF375" s="282"/>
      <c r="AG375" s="109" t="str">
        <f>"78S:sisetukbn_code:" &amp; IF(D386="■",1,0)</f>
        <v>78S:sisetukbn_code:0</v>
      </c>
      <c r="AH375" s="109"/>
      <c r="AI375" s="109" t="str">
        <f>"78S:field232:" &amp; IF(I375="■",1,IF(M375="■",2,0))</f>
        <v>78S:field232:0</v>
      </c>
    </row>
    <row r="376" spans="1:35" ht="19.5" customHeight="1" x14ac:dyDescent="0.2">
      <c r="A376" s="139"/>
      <c r="B376" s="123"/>
      <c r="C376" s="140"/>
      <c r="D376" s="141"/>
      <c r="E376" s="128"/>
      <c r="F376" s="142"/>
      <c r="G376" s="143"/>
      <c r="H376" s="155" t="s">
        <v>448</v>
      </c>
      <c r="I376" s="156" t="s">
        <v>383</v>
      </c>
      <c r="J376" s="157" t="s">
        <v>395</v>
      </c>
      <c r="K376" s="158"/>
      <c r="L376" s="159"/>
      <c r="M376" s="160" t="s">
        <v>383</v>
      </c>
      <c r="N376" s="157" t="s">
        <v>431</v>
      </c>
      <c r="O376" s="161"/>
      <c r="P376" s="157"/>
      <c r="Q376" s="162"/>
      <c r="R376" s="162"/>
      <c r="S376" s="162"/>
      <c r="T376" s="162"/>
      <c r="U376" s="162"/>
      <c r="V376" s="162"/>
      <c r="W376" s="162"/>
      <c r="X376" s="162"/>
      <c r="Y376" s="162"/>
      <c r="Z376" s="162"/>
      <c r="AA376" s="162"/>
      <c r="AB376" s="162"/>
      <c r="AC376" s="162"/>
      <c r="AD376" s="162"/>
      <c r="AE376" s="162"/>
      <c r="AF376" s="282"/>
      <c r="AI376" s="109" t="str">
        <f>"78S:field223:" &amp; IF(I376="■",1,IF(M376="■",2,0))</f>
        <v>78S:field223:0</v>
      </c>
    </row>
    <row r="377" spans="1:35" ht="18.75" customHeight="1" x14ac:dyDescent="0.2">
      <c r="A377" s="139"/>
      <c r="B377" s="123"/>
      <c r="C377" s="237"/>
      <c r="D377" s="142"/>
      <c r="E377" s="128"/>
      <c r="F377" s="142"/>
      <c r="G377" s="270"/>
      <c r="H377" s="204" t="s">
        <v>94</v>
      </c>
      <c r="I377" s="156" t="s">
        <v>383</v>
      </c>
      <c r="J377" s="157" t="s">
        <v>265</v>
      </c>
      <c r="K377" s="158"/>
      <c r="L377" s="207"/>
      <c r="M377" s="160" t="s">
        <v>383</v>
      </c>
      <c r="N377" s="157" t="s">
        <v>266</v>
      </c>
      <c r="O377" s="162"/>
      <c r="P377" s="162"/>
      <c r="Q377" s="162"/>
      <c r="R377" s="157"/>
      <c r="S377" s="157"/>
      <c r="T377" s="157"/>
      <c r="U377" s="157"/>
      <c r="V377" s="157"/>
      <c r="W377" s="157"/>
      <c r="X377" s="157"/>
      <c r="Y377" s="157"/>
      <c r="Z377" s="157"/>
      <c r="AA377" s="157"/>
      <c r="AB377" s="157"/>
      <c r="AC377" s="157"/>
      <c r="AD377" s="157"/>
      <c r="AE377" s="157"/>
      <c r="AF377" s="165"/>
      <c r="AI377" s="109" t="str">
        <f>"78S:timeser_code:" &amp; IF(I377="■",1,IF(M377="■",2,0))</f>
        <v>78S:timeser_code:0</v>
      </c>
    </row>
    <row r="378" spans="1:35" ht="18.75" customHeight="1" x14ac:dyDescent="0.2">
      <c r="A378" s="139"/>
      <c r="B378" s="123"/>
      <c r="C378" s="237"/>
      <c r="D378" s="142"/>
      <c r="E378" s="128"/>
      <c r="F378" s="142"/>
      <c r="G378" s="270"/>
      <c r="H378" s="834" t="s">
        <v>159</v>
      </c>
      <c r="I378" s="715" t="s">
        <v>383</v>
      </c>
      <c r="J378" s="708" t="s">
        <v>250</v>
      </c>
      <c r="K378" s="708"/>
      <c r="L378" s="707" t="s">
        <v>383</v>
      </c>
      <c r="M378" s="708" t="s">
        <v>267</v>
      </c>
      <c r="N378" s="708"/>
      <c r="O378" s="168"/>
      <c r="P378" s="168"/>
      <c r="Q378" s="168"/>
      <c r="R378" s="168"/>
      <c r="S378" s="168"/>
      <c r="T378" s="168"/>
      <c r="U378" s="168"/>
      <c r="V378" s="168"/>
      <c r="W378" s="168"/>
      <c r="X378" s="168"/>
      <c r="Y378" s="168"/>
      <c r="Z378" s="168"/>
      <c r="AA378" s="168"/>
      <c r="AB378" s="168"/>
      <c r="AC378" s="168"/>
      <c r="AD378" s="168"/>
      <c r="AE378" s="168"/>
      <c r="AF378" s="173"/>
      <c r="AI378" s="109" t="str">
        <f>"78S:field181:" &amp; IF(I378="■",1,IF(L378="■",2,0))</f>
        <v>78S:field181:0</v>
      </c>
    </row>
    <row r="379" spans="1:35" ht="18.75" customHeight="1" x14ac:dyDescent="0.2">
      <c r="A379" s="139"/>
      <c r="B379" s="123"/>
      <c r="C379" s="237"/>
      <c r="D379" s="142"/>
      <c r="E379" s="128"/>
      <c r="F379" s="142"/>
      <c r="G379" s="270"/>
      <c r="H379" s="789"/>
      <c r="I379" s="716"/>
      <c r="J379" s="698"/>
      <c r="K379" s="698"/>
      <c r="L379" s="696"/>
      <c r="M379" s="698"/>
      <c r="N379" s="698"/>
      <c r="O379" s="169"/>
      <c r="P379" s="169"/>
      <c r="Q379" s="169"/>
      <c r="R379" s="169"/>
      <c r="S379" s="169"/>
      <c r="T379" s="169"/>
      <c r="U379" s="169"/>
      <c r="V379" s="169"/>
      <c r="W379" s="169"/>
      <c r="X379" s="169"/>
      <c r="Y379" s="169"/>
      <c r="Z379" s="169"/>
      <c r="AA379" s="169"/>
      <c r="AB379" s="169"/>
      <c r="AC379" s="169"/>
      <c r="AD379" s="169"/>
      <c r="AE379" s="169"/>
      <c r="AF379" s="170"/>
      <c r="AI379" s="109"/>
    </row>
    <row r="380" spans="1:35" ht="18.75" customHeight="1" x14ac:dyDescent="0.2">
      <c r="A380" s="139"/>
      <c r="B380" s="123"/>
      <c r="C380" s="237"/>
      <c r="D380" s="142"/>
      <c r="E380" s="128"/>
      <c r="F380" s="142"/>
      <c r="G380" s="270"/>
      <c r="H380" s="834" t="s">
        <v>160</v>
      </c>
      <c r="I380" s="715" t="s">
        <v>383</v>
      </c>
      <c r="J380" s="708" t="s">
        <v>250</v>
      </c>
      <c r="K380" s="708"/>
      <c r="L380" s="707" t="s">
        <v>383</v>
      </c>
      <c r="M380" s="708" t="s">
        <v>267</v>
      </c>
      <c r="N380" s="708"/>
      <c r="O380" s="168"/>
      <c r="P380" s="168"/>
      <c r="Q380" s="168"/>
      <c r="R380" s="168"/>
      <c r="S380" s="168"/>
      <c r="T380" s="168"/>
      <c r="U380" s="168"/>
      <c r="V380" s="168"/>
      <c r="W380" s="168"/>
      <c r="X380" s="168"/>
      <c r="Y380" s="168"/>
      <c r="Z380" s="168"/>
      <c r="AA380" s="168"/>
      <c r="AB380" s="168"/>
      <c r="AC380" s="168"/>
      <c r="AD380" s="168"/>
      <c r="AE380" s="168"/>
      <c r="AF380" s="173"/>
      <c r="AI380" s="109" t="str">
        <f>"78S:field182:" &amp; IF(I380="■",1,IF(L380="■",2,0))</f>
        <v>78S:field182:0</v>
      </c>
    </row>
    <row r="381" spans="1:35" ht="18.75" customHeight="1" x14ac:dyDescent="0.2">
      <c r="A381" s="139"/>
      <c r="B381" s="123"/>
      <c r="C381" s="237"/>
      <c r="D381" s="142"/>
      <c r="E381" s="128"/>
      <c r="F381" s="142"/>
      <c r="G381" s="270"/>
      <c r="H381" s="789"/>
      <c r="I381" s="716"/>
      <c r="J381" s="698"/>
      <c r="K381" s="698"/>
      <c r="L381" s="696"/>
      <c r="M381" s="698"/>
      <c r="N381" s="698"/>
      <c r="O381" s="169"/>
      <c r="P381" s="169"/>
      <c r="Q381" s="169"/>
      <c r="R381" s="169"/>
      <c r="S381" s="169"/>
      <c r="T381" s="169"/>
      <c r="U381" s="169"/>
      <c r="V381" s="169"/>
      <c r="W381" s="169"/>
      <c r="X381" s="169"/>
      <c r="Y381" s="169"/>
      <c r="Z381" s="169"/>
      <c r="AA381" s="169"/>
      <c r="AB381" s="169"/>
      <c r="AC381" s="169"/>
      <c r="AD381" s="169"/>
      <c r="AE381" s="169"/>
      <c r="AF381" s="170"/>
      <c r="AI381" s="109"/>
    </row>
    <row r="382" spans="1:35" ht="18.75" customHeight="1" x14ac:dyDescent="0.2">
      <c r="A382" s="139"/>
      <c r="B382" s="123"/>
      <c r="C382" s="237"/>
      <c r="D382" s="142"/>
      <c r="E382" s="128"/>
      <c r="F382" s="142"/>
      <c r="G382" s="270"/>
      <c r="H382" s="834" t="s">
        <v>161</v>
      </c>
      <c r="I382" s="715" t="s">
        <v>383</v>
      </c>
      <c r="J382" s="708" t="s">
        <v>250</v>
      </c>
      <c r="K382" s="708"/>
      <c r="L382" s="707" t="s">
        <v>383</v>
      </c>
      <c r="M382" s="708" t="s">
        <v>267</v>
      </c>
      <c r="N382" s="708"/>
      <c r="O382" s="168"/>
      <c r="P382" s="168"/>
      <c r="Q382" s="168"/>
      <c r="R382" s="168"/>
      <c r="S382" s="168"/>
      <c r="T382" s="168"/>
      <c r="U382" s="168"/>
      <c r="V382" s="168"/>
      <c r="W382" s="168"/>
      <c r="X382" s="168"/>
      <c r="Y382" s="168"/>
      <c r="Z382" s="168"/>
      <c r="AA382" s="168"/>
      <c r="AB382" s="168"/>
      <c r="AC382" s="168"/>
      <c r="AD382" s="168"/>
      <c r="AE382" s="168"/>
      <c r="AF382" s="173"/>
      <c r="AI382" s="109" t="str">
        <f>"78S:field183:" &amp; IF(I382="■",1,IF(L382="■",2,0))</f>
        <v>78S:field183:0</v>
      </c>
    </row>
    <row r="383" spans="1:35" ht="18.75" customHeight="1" x14ac:dyDescent="0.2">
      <c r="A383" s="139"/>
      <c r="B383" s="123"/>
      <c r="C383" s="237"/>
      <c r="D383" s="142"/>
      <c r="E383" s="128"/>
      <c r="F383" s="142"/>
      <c r="G383" s="270"/>
      <c r="H383" s="789"/>
      <c r="I383" s="716"/>
      <c r="J383" s="698"/>
      <c r="K383" s="698"/>
      <c r="L383" s="696"/>
      <c r="M383" s="698"/>
      <c r="N383" s="698"/>
      <c r="O383" s="169"/>
      <c r="P383" s="169"/>
      <c r="Q383" s="169"/>
      <c r="R383" s="169"/>
      <c r="S383" s="169"/>
      <c r="T383" s="169"/>
      <c r="U383" s="169"/>
      <c r="V383" s="169"/>
      <c r="W383" s="169"/>
      <c r="X383" s="169"/>
      <c r="Y383" s="169"/>
      <c r="Z383" s="169"/>
      <c r="AA383" s="169"/>
      <c r="AB383" s="169"/>
      <c r="AC383" s="169"/>
      <c r="AD383" s="169"/>
      <c r="AE383" s="169"/>
      <c r="AF383" s="170"/>
    </row>
    <row r="384" spans="1:35" ht="18.75" customHeight="1" x14ac:dyDescent="0.2">
      <c r="A384" s="139"/>
      <c r="B384" s="123"/>
      <c r="C384" s="237"/>
      <c r="D384" s="142"/>
      <c r="E384" s="128"/>
      <c r="F384" s="142"/>
      <c r="G384" s="270"/>
      <c r="H384" s="834" t="s">
        <v>162</v>
      </c>
      <c r="I384" s="715" t="s">
        <v>383</v>
      </c>
      <c r="J384" s="708" t="s">
        <v>250</v>
      </c>
      <c r="K384" s="708"/>
      <c r="L384" s="707" t="s">
        <v>383</v>
      </c>
      <c r="M384" s="708" t="s">
        <v>267</v>
      </c>
      <c r="N384" s="708"/>
      <c r="O384" s="168"/>
      <c r="P384" s="168"/>
      <c r="Q384" s="168"/>
      <c r="R384" s="168"/>
      <c r="S384" s="168"/>
      <c r="T384" s="168"/>
      <c r="U384" s="168"/>
      <c r="V384" s="168"/>
      <c r="W384" s="168"/>
      <c r="X384" s="168"/>
      <c r="Y384" s="168"/>
      <c r="Z384" s="168"/>
      <c r="AA384" s="168"/>
      <c r="AB384" s="168"/>
      <c r="AC384" s="168"/>
      <c r="AD384" s="168"/>
      <c r="AE384" s="168"/>
      <c r="AF384" s="173"/>
      <c r="AI384" s="109" t="str">
        <f>"78S:field184:" &amp; IF(I384="■",1,IF(L384="■",2,0))</f>
        <v>78S:field184:0</v>
      </c>
    </row>
    <row r="385" spans="1:35" ht="18.75" customHeight="1" x14ac:dyDescent="0.2">
      <c r="A385" s="139"/>
      <c r="B385" s="123"/>
      <c r="C385" s="237"/>
      <c r="D385" s="142"/>
      <c r="E385" s="128"/>
      <c r="F385" s="142"/>
      <c r="G385" s="270"/>
      <c r="H385" s="789"/>
      <c r="I385" s="716"/>
      <c r="J385" s="698"/>
      <c r="K385" s="698"/>
      <c r="L385" s="696"/>
      <c r="M385" s="698"/>
      <c r="N385" s="698"/>
      <c r="O385" s="169"/>
      <c r="P385" s="169"/>
      <c r="Q385" s="169"/>
      <c r="R385" s="169"/>
      <c r="S385" s="169"/>
      <c r="T385" s="169"/>
      <c r="U385" s="169"/>
      <c r="V385" s="169"/>
      <c r="W385" s="169"/>
      <c r="X385" s="169"/>
      <c r="Y385" s="169"/>
      <c r="Z385" s="169"/>
      <c r="AA385" s="169"/>
      <c r="AB385" s="169"/>
      <c r="AC385" s="169"/>
      <c r="AD385" s="169"/>
      <c r="AE385" s="169"/>
      <c r="AF385" s="170"/>
    </row>
    <row r="386" spans="1:35" ht="18.75" customHeight="1" x14ac:dyDescent="0.2">
      <c r="A386" s="125" t="s">
        <v>383</v>
      </c>
      <c r="B386" s="123">
        <v>78</v>
      </c>
      <c r="C386" s="237" t="s">
        <v>608</v>
      </c>
      <c r="D386" s="125" t="s">
        <v>383</v>
      </c>
      <c r="E386" s="128" t="s">
        <v>609</v>
      </c>
      <c r="F386" s="142"/>
      <c r="G386" s="270"/>
      <c r="H386" s="204" t="s">
        <v>148</v>
      </c>
      <c r="I386" s="156" t="s">
        <v>383</v>
      </c>
      <c r="J386" s="157" t="s">
        <v>250</v>
      </c>
      <c r="K386" s="158"/>
      <c r="L386" s="160" t="s">
        <v>383</v>
      </c>
      <c r="M386" s="157" t="s">
        <v>267</v>
      </c>
      <c r="N386" s="207"/>
      <c r="O386" s="157"/>
      <c r="P386" s="157"/>
      <c r="Q386" s="157"/>
      <c r="R386" s="157"/>
      <c r="S386" s="157"/>
      <c r="T386" s="157"/>
      <c r="U386" s="157"/>
      <c r="V386" s="157"/>
      <c r="W386" s="157"/>
      <c r="X386" s="157"/>
      <c r="Y386" s="157"/>
      <c r="Z386" s="157"/>
      <c r="AA386" s="157"/>
      <c r="AB386" s="157"/>
      <c r="AC386" s="157"/>
      <c r="AD386" s="157"/>
      <c r="AE386" s="157"/>
      <c r="AF386" s="165"/>
      <c r="AI386" s="109" t="str">
        <f>"78S:field151:" &amp; IF(I386="■",1,IF(L386="■",2,0))</f>
        <v>78S:field151:0</v>
      </c>
    </row>
    <row r="387" spans="1:35" ht="18.75" customHeight="1" x14ac:dyDescent="0.2">
      <c r="A387" s="139"/>
      <c r="B387" s="123"/>
      <c r="C387" s="237"/>
      <c r="D387" s="142"/>
      <c r="E387" s="128"/>
      <c r="F387" s="142"/>
      <c r="G387" s="270"/>
      <c r="H387" s="239" t="s">
        <v>230</v>
      </c>
      <c r="I387" s="156" t="s">
        <v>383</v>
      </c>
      <c r="J387" s="157" t="s">
        <v>250</v>
      </c>
      <c r="K387" s="157"/>
      <c r="L387" s="160" t="s">
        <v>383</v>
      </c>
      <c r="M387" s="157" t="s">
        <v>251</v>
      </c>
      <c r="N387" s="157"/>
      <c r="O387" s="160" t="s">
        <v>383</v>
      </c>
      <c r="P387" s="157" t="s">
        <v>252</v>
      </c>
      <c r="Q387" s="207"/>
      <c r="R387" s="207"/>
      <c r="S387" s="284"/>
      <c r="T387" s="284"/>
      <c r="U387" s="284"/>
      <c r="V387" s="284"/>
      <c r="W387" s="284"/>
      <c r="X387" s="284"/>
      <c r="Y387" s="284"/>
      <c r="Z387" s="284"/>
      <c r="AA387" s="284"/>
      <c r="AB387" s="284"/>
      <c r="AC387" s="284"/>
      <c r="AD387" s="284"/>
      <c r="AE387" s="284"/>
      <c r="AF387" s="322"/>
      <c r="AI387" s="109" t="str">
        <f>"78S:nyukai_code:" &amp; IF(I387="■",1,IF(O387="■",3,IF(L387="■",2,0)))</f>
        <v>78S:nyukai_code:0</v>
      </c>
    </row>
    <row r="388" spans="1:35" ht="18.75" customHeight="1" x14ac:dyDescent="0.2">
      <c r="A388" s="139"/>
      <c r="B388" s="123"/>
      <c r="C388" s="237"/>
      <c r="D388" s="142"/>
      <c r="E388" s="128"/>
      <c r="F388" s="142"/>
      <c r="G388" s="270"/>
      <c r="H388" s="239" t="s">
        <v>188</v>
      </c>
      <c r="I388" s="156" t="s">
        <v>383</v>
      </c>
      <c r="J388" s="157" t="s">
        <v>250</v>
      </c>
      <c r="K388" s="158"/>
      <c r="L388" s="160" t="s">
        <v>383</v>
      </c>
      <c r="M388" s="157" t="s">
        <v>267</v>
      </c>
      <c r="N388" s="207"/>
      <c r="O388" s="157"/>
      <c r="P388" s="157"/>
      <c r="Q388" s="157"/>
      <c r="R388" s="157"/>
      <c r="S388" s="157"/>
      <c r="T388" s="157"/>
      <c r="U388" s="157"/>
      <c r="V388" s="157"/>
      <c r="W388" s="157"/>
      <c r="X388" s="157"/>
      <c r="Y388" s="157"/>
      <c r="Z388" s="157"/>
      <c r="AA388" s="157"/>
      <c r="AB388" s="157"/>
      <c r="AC388" s="157"/>
      <c r="AD388" s="157"/>
      <c r="AE388" s="157"/>
      <c r="AF388" s="165"/>
      <c r="AI388" s="109" t="str">
        <f>"78S:field153:" &amp; IF(I388="■",1,IF(L388="■",2,0))</f>
        <v>78S:field153:0</v>
      </c>
    </row>
    <row r="389" spans="1:35" ht="18.75" customHeight="1" x14ac:dyDescent="0.2">
      <c r="A389" s="139"/>
      <c r="B389" s="123"/>
      <c r="C389" s="237"/>
      <c r="D389" s="142"/>
      <c r="E389" s="128"/>
      <c r="F389" s="142"/>
      <c r="G389" s="270"/>
      <c r="H389" s="239" t="s">
        <v>183</v>
      </c>
      <c r="I389" s="156" t="s">
        <v>383</v>
      </c>
      <c r="J389" s="157" t="s">
        <v>250</v>
      </c>
      <c r="K389" s="157"/>
      <c r="L389" s="160" t="s">
        <v>383</v>
      </c>
      <c r="M389" s="157" t="s">
        <v>268</v>
      </c>
      <c r="N389" s="157"/>
      <c r="O389" s="160" t="s">
        <v>383</v>
      </c>
      <c r="P389" s="157" t="s">
        <v>269</v>
      </c>
      <c r="Q389" s="207"/>
      <c r="R389" s="207"/>
      <c r="S389" s="207"/>
      <c r="T389" s="157"/>
      <c r="U389" s="157"/>
      <c r="V389" s="157"/>
      <c r="W389" s="157"/>
      <c r="X389" s="157"/>
      <c r="Y389" s="157"/>
      <c r="Z389" s="157"/>
      <c r="AA389" s="157"/>
      <c r="AB389" s="157"/>
      <c r="AC389" s="157"/>
      <c r="AD389" s="157"/>
      <c r="AE389" s="157"/>
      <c r="AF389" s="165"/>
      <c r="AI389" s="109" t="str">
        <f>"78S:field185:" &amp; IF(I389="■",1,IF(L389="■",3,IF(O389="■",2,0)))</f>
        <v>78S:field185:0</v>
      </c>
    </row>
    <row r="390" spans="1:35" ht="18.75" customHeight="1" x14ac:dyDescent="0.2">
      <c r="A390" s="139"/>
      <c r="B390" s="123"/>
      <c r="C390" s="237"/>
      <c r="D390" s="142"/>
      <c r="E390" s="128"/>
      <c r="F390" s="142"/>
      <c r="G390" s="270"/>
      <c r="H390" s="239" t="s">
        <v>204</v>
      </c>
      <c r="I390" s="156" t="s">
        <v>383</v>
      </c>
      <c r="J390" s="157" t="s">
        <v>250</v>
      </c>
      <c r="K390" s="157"/>
      <c r="L390" s="160" t="s">
        <v>383</v>
      </c>
      <c r="M390" s="157" t="s">
        <v>284</v>
      </c>
      <c r="N390" s="157"/>
      <c r="O390" s="157"/>
      <c r="P390" s="160" t="s">
        <v>383</v>
      </c>
      <c r="Q390" s="157" t="s">
        <v>285</v>
      </c>
      <c r="R390" s="157"/>
      <c r="S390" s="157"/>
      <c r="T390" s="157"/>
      <c r="U390" s="157"/>
      <c r="V390" s="157"/>
      <c r="W390" s="157"/>
      <c r="X390" s="157"/>
      <c r="Y390" s="157"/>
      <c r="Z390" s="157"/>
      <c r="AA390" s="157"/>
      <c r="AB390" s="157"/>
      <c r="AC390" s="157"/>
      <c r="AD390" s="157"/>
      <c r="AE390" s="157"/>
      <c r="AF390" s="165"/>
      <c r="AI390" s="109" t="str">
        <f>"78S:field205:" &amp; IF(I390="■",1,IF(P390="■",3,IF(L390="■",2,0)))</f>
        <v>78S:field205:0</v>
      </c>
    </row>
    <row r="391" spans="1:35" ht="18.75" customHeight="1" x14ac:dyDescent="0.2">
      <c r="A391" s="139"/>
      <c r="B391" s="123"/>
      <c r="C391" s="237"/>
      <c r="D391" s="142"/>
      <c r="E391" s="128"/>
      <c r="F391" s="142"/>
      <c r="G391" s="270"/>
      <c r="H391" s="320" t="s">
        <v>189</v>
      </c>
      <c r="I391" s="156" t="s">
        <v>383</v>
      </c>
      <c r="J391" s="157" t="s">
        <v>250</v>
      </c>
      <c r="K391" s="158"/>
      <c r="L391" s="160" t="s">
        <v>383</v>
      </c>
      <c r="M391" s="157" t="s">
        <v>267</v>
      </c>
      <c r="N391" s="207"/>
      <c r="O391" s="157"/>
      <c r="P391" s="157"/>
      <c r="Q391" s="157"/>
      <c r="R391" s="157"/>
      <c r="S391" s="157"/>
      <c r="T391" s="157"/>
      <c r="U391" s="157"/>
      <c r="V391" s="157"/>
      <c r="W391" s="157"/>
      <c r="X391" s="157"/>
      <c r="Y391" s="157"/>
      <c r="Z391" s="157"/>
      <c r="AA391" s="157"/>
      <c r="AB391" s="157"/>
      <c r="AC391" s="157"/>
      <c r="AD391" s="157"/>
      <c r="AE391" s="157"/>
      <c r="AF391" s="165"/>
      <c r="AI391" s="109" t="str">
        <f>"78S:field186:" &amp; IF(I391="■",1,IF(L391="■",2,0))</f>
        <v>78S:field186:0</v>
      </c>
    </row>
    <row r="392" spans="1:35" ht="18.75" customHeight="1" x14ac:dyDescent="0.2">
      <c r="A392" s="139"/>
      <c r="B392" s="123"/>
      <c r="C392" s="237"/>
      <c r="D392" s="142"/>
      <c r="E392" s="128"/>
      <c r="F392" s="142"/>
      <c r="G392" s="270"/>
      <c r="H392" s="204" t="s">
        <v>129</v>
      </c>
      <c r="I392" s="156" t="s">
        <v>383</v>
      </c>
      <c r="J392" s="157" t="s">
        <v>250</v>
      </c>
      <c r="K392" s="158"/>
      <c r="L392" s="160" t="s">
        <v>383</v>
      </c>
      <c r="M392" s="157" t="s">
        <v>267</v>
      </c>
      <c r="N392" s="207"/>
      <c r="O392" s="157"/>
      <c r="P392" s="157"/>
      <c r="Q392" s="157"/>
      <c r="R392" s="157"/>
      <c r="S392" s="157"/>
      <c r="T392" s="157"/>
      <c r="U392" s="157"/>
      <c r="V392" s="157"/>
      <c r="W392" s="157"/>
      <c r="X392" s="157"/>
      <c r="Y392" s="157"/>
      <c r="Z392" s="157"/>
      <c r="AA392" s="157"/>
      <c r="AB392" s="157"/>
      <c r="AC392" s="157"/>
      <c r="AD392" s="157"/>
      <c r="AE392" s="157"/>
      <c r="AF392" s="165"/>
      <c r="AI392" s="109" t="str">
        <f>"78S:field167:" &amp; IF(I392="■",1,IF(L392="■",2,0))</f>
        <v>78S:field167:0</v>
      </c>
    </row>
    <row r="393" spans="1:35" ht="18.75" customHeight="1" x14ac:dyDescent="0.2">
      <c r="A393" s="139"/>
      <c r="B393" s="123"/>
      <c r="C393" s="237"/>
      <c r="D393" s="142"/>
      <c r="E393" s="128"/>
      <c r="F393" s="142"/>
      <c r="G393" s="270"/>
      <c r="H393" s="204" t="s">
        <v>110</v>
      </c>
      <c r="I393" s="156" t="s">
        <v>383</v>
      </c>
      <c r="J393" s="157" t="s">
        <v>250</v>
      </c>
      <c r="K393" s="158"/>
      <c r="L393" s="160" t="s">
        <v>383</v>
      </c>
      <c r="M393" s="157" t="s">
        <v>267</v>
      </c>
      <c r="N393" s="207"/>
      <c r="O393" s="157"/>
      <c r="P393" s="157"/>
      <c r="Q393" s="157"/>
      <c r="R393" s="157"/>
      <c r="S393" s="157"/>
      <c r="T393" s="157"/>
      <c r="U393" s="157"/>
      <c r="V393" s="157"/>
      <c r="W393" s="157"/>
      <c r="X393" s="157"/>
      <c r="Y393" s="157"/>
      <c r="Z393" s="157"/>
      <c r="AA393" s="157"/>
      <c r="AB393" s="157"/>
      <c r="AC393" s="157"/>
      <c r="AD393" s="157"/>
      <c r="AE393" s="157"/>
      <c r="AF393" s="165"/>
      <c r="AI393" s="109" t="str">
        <f>"78S:jyakuninti_uke_code:" &amp; IF(I393="■",1,IF(L393="■",2,0))</f>
        <v>78S:jyakuninti_uke_code:0</v>
      </c>
    </row>
    <row r="394" spans="1:35" ht="18.75" customHeight="1" x14ac:dyDescent="0.2">
      <c r="A394" s="139"/>
      <c r="B394" s="123"/>
      <c r="C394" s="237"/>
      <c r="D394" s="142"/>
      <c r="E394" s="128"/>
      <c r="F394" s="142"/>
      <c r="G394" s="270"/>
      <c r="H394" s="126" t="s">
        <v>236</v>
      </c>
      <c r="I394" s="156" t="s">
        <v>383</v>
      </c>
      <c r="J394" s="157" t="s">
        <v>250</v>
      </c>
      <c r="K394" s="158"/>
      <c r="L394" s="160" t="s">
        <v>383</v>
      </c>
      <c r="M394" s="157" t="s">
        <v>267</v>
      </c>
      <c r="N394" s="207"/>
      <c r="O394" s="157"/>
      <c r="P394" s="157"/>
      <c r="Q394" s="157"/>
      <c r="R394" s="157"/>
      <c r="S394" s="157"/>
      <c r="T394" s="157"/>
      <c r="U394" s="157"/>
      <c r="V394" s="157"/>
      <c r="W394" s="157"/>
      <c r="X394" s="157"/>
      <c r="Y394" s="157"/>
      <c r="Z394" s="157"/>
      <c r="AA394" s="157"/>
      <c r="AB394" s="157"/>
      <c r="AC394" s="157"/>
      <c r="AD394" s="157"/>
      <c r="AE394" s="157"/>
      <c r="AF394" s="165"/>
      <c r="AI394" s="109" t="str">
        <f>"78S:eiyomana_code:" &amp; IF(I394="■",1,IF(L394="■",2,0))</f>
        <v>78S:eiyomana_code:0</v>
      </c>
    </row>
    <row r="395" spans="1:35" ht="18.75" customHeight="1" x14ac:dyDescent="0.2">
      <c r="A395" s="139"/>
      <c r="B395" s="123"/>
      <c r="C395" s="237"/>
      <c r="D395" s="142"/>
      <c r="E395" s="128"/>
      <c r="F395" s="142"/>
      <c r="G395" s="270"/>
      <c r="H395" s="239" t="s">
        <v>205</v>
      </c>
      <c r="I395" s="156" t="s">
        <v>383</v>
      </c>
      <c r="J395" s="157" t="s">
        <v>250</v>
      </c>
      <c r="K395" s="158"/>
      <c r="L395" s="160" t="s">
        <v>383</v>
      </c>
      <c r="M395" s="157" t="s">
        <v>267</v>
      </c>
      <c r="N395" s="207"/>
      <c r="O395" s="157"/>
      <c r="P395" s="157"/>
      <c r="Q395" s="157"/>
      <c r="R395" s="157"/>
      <c r="S395" s="157"/>
      <c r="T395" s="157"/>
      <c r="U395" s="157"/>
      <c r="V395" s="157"/>
      <c r="W395" s="157"/>
      <c r="X395" s="157"/>
      <c r="Y395" s="157"/>
      <c r="Z395" s="157"/>
      <c r="AA395" s="157"/>
      <c r="AB395" s="157"/>
      <c r="AC395" s="157"/>
      <c r="AD395" s="157"/>
      <c r="AE395" s="157"/>
      <c r="AF395" s="165"/>
      <c r="AI395" s="109" t="str">
        <f>"78S:koukoukino_code:" &amp; IF(I395="■",1,IF(L395="■",2,0))</f>
        <v>78S:koukoukino_code:0</v>
      </c>
    </row>
    <row r="396" spans="1:35" ht="18.75" customHeight="1" x14ac:dyDescent="0.2">
      <c r="A396" s="183"/>
      <c r="B396" s="184"/>
      <c r="C396" s="264"/>
      <c r="D396" s="314"/>
      <c r="E396" s="187"/>
      <c r="F396" s="188"/>
      <c r="G396" s="267"/>
      <c r="H396" s="323" t="s">
        <v>197</v>
      </c>
      <c r="I396" s="190" t="s">
        <v>383</v>
      </c>
      <c r="J396" s="222" t="s">
        <v>250</v>
      </c>
      <c r="K396" s="230"/>
      <c r="L396" s="191" t="s">
        <v>383</v>
      </c>
      <c r="M396" s="222" t="s">
        <v>267</v>
      </c>
      <c r="N396" s="311"/>
      <c r="O396" s="222"/>
      <c r="P396" s="222"/>
      <c r="Q396" s="222"/>
      <c r="R396" s="222"/>
      <c r="S396" s="222"/>
      <c r="T396" s="222"/>
      <c r="U396" s="222"/>
      <c r="V396" s="222"/>
      <c r="W396" s="222"/>
      <c r="X396" s="222"/>
      <c r="Y396" s="222"/>
      <c r="Z396" s="222"/>
      <c r="AA396" s="222"/>
      <c r="AB396" s="222"/>
      <c r="AC396" s="222"/>
      <c r="AD396" s="222"/>
      <c r="AE396" s="222"/>
      <c r="AF396" s="285"/>
      <c r="AI396" s="109" t="str">
        <f>"78S:field212:" &amp; IF(I396="■",1,IF(L396="■",2,0))</f>
        <v>78S:field212:0</v>
      </c>
    </row>
    <row r="397" spans="1:35" ht="18.75" customHeight="1" x14ac:dyDescent="0.2">
      <c r="A397" s="129"/>
      <c r="B397" s="116"/>
      <c r="C397" s="130"/>
      <c r="D397" s="131"/>
      <c r="E397" s="121"/>
      <c r="F397" s="132"/>
      <c r="G397" s="133"/>
      <c r="H397" s="324" t="s">
        <v>93</v>
      </c>
      <c r="I397" s="196" t="s">
        <v>383</v>
      </c>
      <c r="J397" s="197" t="s">
        <v>250</v>
      </c>
      <c r="K397" s="197"/>
      <c r="L397" s="199"/>
      <c r="M397" s="200" t="s">
        <v>383</v>
      </c>
      <c r="N397" s="197" t="s">
        <v>281</v>
      </c>
      <c r="O397" s="197"/>
      <c r="P397" s="199"/>
      <c r="Q397" s="200" t="s">
        <v>383</v>
      </c>
      <c r="R397" s="235" t="s">
        <v>282</v>
      </c>
      <c r="S397" s="235"/>
      <c r="T397" s="235"/>
      <c r="U397" s="235"/>
      <c r="V397" s="197"/>
      <c r="W397" s="197"/>
      <c r="X397" s="197"/>
      <c r="Y397" s="197"/>
      <c r="Z397" s="197"/>
      <c r="AA397" s="197"/>
      <c r="AB397" s="197"/>
      <c r="AC397" s="197"/>
      <c r="AD397" s="197"/>
      <c r="AE397" s="197"/>
      <c r="AF397" s="283"/>
      <c r="AG397" s="109" t="str">
        <f>"ser_code = '" &amp; IF(A402="■",72,"") &amp; "'"</f>
        <v>ser_code = ''</v>
      </c>
      <c r="AH397" s="109"/>
      <c r="AI397" s="109" t="str">
        <f>"72S:"&amp;IF(AND(I397="□",M397="□",Q397="□"),"ketu_kangos_code:0",IF(I397="■","ketu_kangos_code:1:ketu_kshoku_code:1",IF(M397="■","ketu_kangos_code:2","ketu_kangos_code:1")&amp;IF(Q397="■",":ketu_kshoku_code:2",":ketu_kshoku_code:1")))</f>
        <v>72S:ketu_kangos_code:0</v>
      </c>
    </row>
    <row r="398" spans="1:35" ht="19.5" customHeight="1" x14ac:dyDescent="0.2">
      <c r="A398" s="139"/>
      <c r="B398" s="123"/>
      <c r="C398" s="140"/>
      <c r="D398" s="141"/>
      <c r="E398" s="128"/>
      <c r="F398" s="142"/>
      <c r="G398" s="143"/>
      <c r="H398" s="257" t="s">
        <v>430</v>
      </c>
      <c r="I398" s="150" t="s">
        <v>383</v>
      </c>
      <c r="J398" s="169" t="s">
        <v>395</v>
      </c>
      <c r="K398" s="179"/>
      <c r="L398" s="254"/>
      <c r="M398" s="203" t="s">
        <v>383</v>
      </c>
      <c r="N398" s="169" t="s">
        <v>431</v>
      </c>
      <c r="O398" s="152"/>
      <c r="P398" s="169"/>
      <c r="Q398" s="152"/>
      <c r="R398" s="152"/>
      <c r="S398" s="152"/>
      <c r="T398" s="152"/>
      <c r="U398" s="152"/>
      <c r="V398" s="152"/>
      <c r="W398" s="152"/>
      <c r="X398" s="152"/>
      <c r="Y398" s="152"/>
      <c r="Z398" s="152"/>
      <c r="AA398" s="152"/>
      <c r="AB398" s="152"/>
      <c r="AC398" s="152"/>
      <c r="AD398" s="152"/>
      <c r="AE398" s="152"/>
      <c r="AF398" s="325"/>
      <c r="AG398" s="109" t="str">
        <f>"72S:sisetukbn_code:" &amp; IF(D402="■",1,IF(D403="■",2,IF(D404="■",3,0)))</f>
        <v>72S:sisetukbn_code:0</v>
      </c>
      <c r="AI398" s="109" t="str">
        <f>"72S:field223:" &amp; IF(I398="■",1,IF(M398="■",2,0))</f>
        <v>72S:field223:0</v>
      </c>
    </row>
    <row r="399" spans="1:35" ht="19.5" customHeight="1" x14ac:dyDescent="0.2">
      <c r="A399" s="139"/>
      <c r="B399" s="123"/>
      <c r="C399" s="140"/>
      <c r="D399" s="141"/>
      <c r="E399" s="128"/>
      <c r="F399" s="142"/>
      <c r="G399" s="143"/>
      <c r="H399" s="155" t="s">
        <v>448</v>
      </c>
      <c r="I399" s="156" t="s">
        <v>383</v>
      </c>
      <c r="J399" s="157" t="s">
        <v>395</v>
      </c>
      <c r="K399" s="158"/>
      <c r="L399" s="159"/>
      <c r="M399" s="160" t="s">
        <v>383</v>
      </c>
      <c r="N399" s="157" t="s">
        <v>431</v>
      </c>
      <c r="O399" s="162"/>
      <c r="P399" s="157"/>
      <c r="Q399" s="162"/>
      <c r="R399" s="162"/>
      <c r="S399" s="162"/>
      <c r="T399" s="162"/>
      <c r="U399" s="162"/>
      <c r="V399" s="162"/>
      <c r="W399" s="162"/>
      <c r="X399" s="162"/>
      <c r="Y399" s="162"/>
      <c r="Z399" s="162"/>
      <c r="AA399" s="162"/>
      <c r="AB399" s="162"/>
      <c r="AC399" s="162"/>
      <c r="AD399" s="162"/>
      <c r="AE399" s="162"/>
      <c r="AF399" s="282"/>
      <c r="AI399" s="109" t="str">
        <f>"72S:field232:" &amp; IF(I399="■",1,IF(M399="■",2,0))</f>
        <v>72S:field232:0</v>
      </c>
    </row>
    <row r="400" spans="1:35" ht="18.75" customHeight="1" x14ac:dyDescent="0.2">
      <c r="A400" s="139"/>
      <c r="B400" s="123"/>
      <c r="C400" s="237"/>
      <c r="D400" s="260"/>
      <c r="E400" s="128"/>
      <c r="F400" s="142"/>
      <c r="G400" s="270"/>
      <c r="H400" s="320" t="s">
        <v>94</v>
      </c>
      <c r="I400" s="156" t="s">
        <v>383</v>
      </c>
      <c r="J400" s="157" t="s">
        <v>265</v>
      </c>
      <c r="K400" s="158"/>
      <c r="L400" s="207"/>
      <c r="M400" s="160" t="s">
        <v>383</v>
      </c>
      <c r="N400" s="157" t="s">
        <v>266</v>
      </c>
      <c r="O400" s="162"/>
      <c r="P400" s="162"/>
      <c r="Q400" s="162"/>
      <c r="R400" s="157"/>
      <c r="S400" s="157"/>
      <c r="T400" s="157"/>
      <c r="U400" s="157"/>
      <c r="V400" s="157"/>
      <c r="W400" s="157"/>
      <c r="X400" s="157"/>
      <c r="Y400" s="157"/>
      <c r="Z400" s="157"/>
      <c r="AA400" s="157"/>
      <c r="AB400" s="157"/>
      <c r="AC400" s="157"/>
      <c r="AD400" s="157"/>
      <c r="AE400" s="157"/>
      <c r="AF400" s="165"/>
      <c r="AI400" s="109" t="str">
        <f>"72S:timeser_code:" &amp; IF(I400="■",1,IF(M400="■",2,0))</f>
        <v>72S:timeser_code:0</v>
      </c>
    </row>
    <row r="401" spans="1:35" ht="18.75" customHeight="1" x14ac:dyDescent="0.2">
      <c r="A401" s="139"/>
      <c r="B401" s="123"/>
      <c r="C401" s="237"/>
      <c r="D401" s="260"/>
      <c r="E401" s="128"/>
      <c r="F401" s="142"/>
      <c r="G401" s="270"/>
      <c r="H401" s="239" t="s">
        <v>230</v>
      </c>
      <c r="I401" s="156" t="s">
        <v>383</v>
      </c>
      <c r="J401" s="157" t="s">
        <v>250</v>
      </c>
      <c r="K401" s="157"/>
      <c r="L401" s="160" t="s">
        <v>383</v>
      </c>
      <c r="M401" s="157" t="s">
        <v>251</v>
      </c>
      <c r="N401" s="157"/>
      <c r="O401" s="160" t="s">
        <v>383</v>
      </c>
      <c r="P401" s="157" t="s">
        <v>252</v>
      </c>
      <c r="Q401" s="207"/>
      <c r="R401" s="207"/>
      <c r="S401" s="284"/>
      <c r="T401" s="284"/>
      <c r="U401" s="284"/>
      <c r="V401" s="284"/>
      <c r="W401" s="284"/>
      <c r="X401" s="284"/>
      <c r="Y401" s="284"/>
      <c r="Z401" s="284"/>
      <c r="AA401" s="284"/>
      <c r="AB401" s="284"/>
      <c r="AC401" s="284"/>
      <c r="AD401" s="284"/>
      <c r="AE401" s="284"/>
      <c r="AF401" s="322"/>
      <c r="AI401" s="109" t="str">
        <f>"72S:nyukai_code:" &amp; IF(I401="■",1,IF(O401="■",3,IF(L401="■",2,0)))</f>
        <v>72S:nyukai_code:0</v>
      </c>
    </row>
    <row r="402" spans="1:35" ht="18.75" customHeight="1" x14ac:dyDescent="0.2">
      <c r="A402" s="125" t="s">
        <v>383</v>
      </c>
      <c r="B402" s="123">
        <v>72</v>
      </c>
      <c r="C402" s="237" t="s">
        <v>542</v>
      </c>
      <c r="D402" s="125" t="s">
        <v>383</v>
      </c>
      <c r="E402" s="128" t="s">
        <v>309</v>
      </c>
      <c r="F402" s="142"/>
      <c r="G402" s="270"/>
      <c r="H402" s="239" t="s">
        <v>183</v>
      </c>
      <c r="I402" s="156" t="s">
        <v>383</v>
      </c>
      <c r="J402" s="157" t="s">
        <v>250</v>
      </c>
      <c r="K402" s="157"/>
      <c r="L402" s="160" t="s">
        <v>383</v>
      </c>
      <c r="M402" s="157" t="s">
        <v>268</v>
      </c>
      <c r="N402" s="157"/>
      <c r="O402" s="160" t="s">
        <v>383</v>
      </c>
      <c r="P402" s="157" t="s">
        <v>269</v>
      </c>
      <c r="Q402" s="207"/>
      <c r="R402" s="207"/>
      <c r="S402" s="207"/>
      <c r="T402" s="157"/>
      <c r="U402" s="157"/>
      <c r="V402" s="157"/>
      <c r="W402" s="157"/>
      <c r="X402" s="157"/>
      <c r="Y402" s="157"/>
      <c r="Z402" s="157"/>
      <c r="AA402" s="157"/>
      <c r="AB402" s="157"/>
      <c r="AC402" s="157"/>
      <c r="AD402" s="157"/>
      <c r="AE402" s="157"/>
      <c r="AF402" s="165"/>
      <c r="AI402" s="109" t="str">
        <f>"72S:field185:" &amp; IF(I402="■",1,IF(L402="■",3,IF(O402="■",2,0)))</f>
        <v>72S:field185:0</v>
      </c>
    </row>
    <row r="403" spans="1:35" ht="18.75" customHeight="1" x14ac:dyDescent="0.2">
      <c r="A403" s="139"/>
      <c r="B403" s="123"/>
      <c r="C403" s="237"/>
      <c r="D403" s="125" t="s">
        <v>383</v>
      </c>
      <c r="E403" s="128" t="s">
        <v>543</v>
      </c>
      <c r="F403" s="142"/>
      <c r="G403" s="270"/>
      <c r="H403" s="239" t="s">
        <v>234</v>
      </c>
      <c r="I403" s="156" t="s">
        <v>383</v>
      </c>
      <c r="J403" s="157" t="s">
        <v>250</v>
      </c>
      <c r="K403" s="158"/>
      <c r="L403" s="160" t="s">
        <v>383</v>
      </c>
      <c r="M403" s="157" t="s">
        <v>267</v>
      </c>
      <c r="N403" s="207"/>
      <c r="O403" s="157"/>
      <c r="P403" s="157"/>
      <c r="Q403" s="157"/>
      <c r="R403" s="157"/>
      <c r="S403" s="157"/>
      <c r="T403" s="157"/>
      <c r="U403" s="157"/>
      <c r="V403" s="157"/>
      <c r="W403" s="157"/>
      <c r="X403" s="157"/>
      <c r="Y403" s="157"/>
      <c r="Z403" s="157"/>
      <c r="AA403" s="157"/>
      <c r="AB403" s="157"/>
      <c r="AC403" s="157"/>
      <c r="AD403" s="157"/>
      <c r="AE403" s="157"/>
      <c r="AF403" s="165"/>
      <c r="AI403" s="109" t="str">
        <f>"72S:kobetu_kunren_code:" &amp; IF(I403="■",1,IF(L403="■",2,0))</f>
        <v>72S:kobetu_kunren_code:0</v>
      </c>
    </row>
    <row r="404" spans="1:35" ht="18.75" customHeight="1" x14ac:dyDescent="0.2">
      <c r="A404" s="139"/>
      <c r="B404" s="123"/>
      <c r="C404" s="237"/>
      <c r="D404" s="125" t="s">
        <v>383</v>
      </c>
      <c r="E404" s="128" t="s">
        <v>544</v>
      </c>
      <c r="F404" s="142"/>
      <c r="G404" s="270"/>
      <c r="H404" s="320" t="s">
        <v>189</v>
      </c>
      <c r="I404" s="156" t="s">
        <v>383</v>
      </c>
      <c r="J404" s="157" t="s">
        <v>250</v>
      </c>
      <c r="K404" s="158"/>
      <c r="L404" s="160" t="s">
        <v>383</v>
      </c>
      <c r="M404" s="157" t="s">
        <v>267</v>
      </c>
      <c r="N404" s="207"/>
      <c r="O404" s="157"/>
      <c r="P404" s="157"/>
      <c r="Q404" s="157"/>
      <c r="R404" s="157"/>
      <c r="S404" s="157"/>
      <c r="T404" s="157"/>
      <c r="U404" s="157"/>
      <c r="V404" s="157"/>
      <c r="W404" s="157"/>
      <c r="X404" s="157"/>
      <c r="Y404" s="157"/>
      <c r="Z404" s="157"/>
      <c r="AA404" s="157"/>
      <c r="AB404" s="157"/>
      <c r="AC404" s="157"/>
      <c r="AD404" s="157"/>
      <c r="AE404" s="157"/>
      <c r="AF404" s="165"/>
      <c r="AI404" s="109" t="str">
        <f>"72S:field186:" &amp; IF(I404="■",1,IF(L404="■",2,0))</f>
        <v>72S:field186:0</v>
      </c>
    </row>
    <row r="405" spans="1:35" ht="18.75" customHeight="1" x14ac:dyDescent="0.2">
      <c r="A405" s="139"/>
      <c r="B405" s="123"/>
      <c r="C405" s="237"/>
      <c r="D405" s="260"/>
      <c r="E405" s="128"/>
      <c r="F405" s="142"/>
      <c r="G405" s="270"/>
      <c r="H405" s="320" t="s">
        <v>486</v>
      </c>
      <c r="I405" s="156" t="s">
        <v>383</v>
      </c>
      <c r="J405" s="157" t="s">
        <v>250</v>
      </c>
      <c r="K405" s="158"/>
      <c r="L405" s="160" t="s">
        <v>383</v>
      </c>
      <c r="M405" s="157" t="s">
        <v>267</v>
      </c>
      <c r="N405" s="207"/>
      <c r="O405" s="157"/>
      <c r="P405" s="157"/>
      <c r="Q405" s="157"/>
      <c r="R405" s="157"/>
      <c r="S405" s="157"/>
      <c r="T405" s="157"/>
      <c r="U405" s="157"/>
      <c r="V405" s="157"/>
      <c r="W405" s="157"/>
      <c r="X405" s="157"/>
      <c r="Y405" s="157"/>
      <c r="Z405" s="157"/>
      <c r="AA405" s="157"/>
      <c r="AB405" s="157"/>
      <c r="AC405" s="157"/>
      <c r="AD405" s="157"/>
      <c r="AE405" s="157"/>
      <c r="AF405" s="165"/>
      <c r="AI405" s="109" t="str">
        <f>"72S:jyakuninti_uke_code:" &amp; IF(I405="■",1,IF(L405="■",2,0))</f>
        <v>72S:jyakuninti_uke_code:0</v>
      </c>
    </row>
    <row r="406" spans="1:35" ht="18.75" customHeight="1" x14ac:dyDescent="0.2">
      <c r="A406" s="139"/>
      <c r="B406" s="123"/>
      <c r="C406" s="237"/>
      <c r="D406" s="260"/>
      <c r="E406" s="128"/>
      <c r="F406" s="142"/>
      <c r="G406" s="270"/>
      <c r="H406" s="126" t="s">
        <v>236</v>
      </c>
      <c r="I406" s="156" t="s">
        <v>383</v>
      </c>
      <c r="J406" s="157" t="s">
        <v>250</v>
      </c>
      <c r="K406" s="158"/>
      <c r="L406" s="160" t="s">
        <v>383</v>
      </c>
      <c r="M406" s="157" t="s">
        <v>267</v>
      </c>
      <c r="N406" s="207"/>
      <c r="O406" s="157"/>
      <c r="P406" s="157"/>
      <c r="Q406" s="157"/>
      <c r="R406" s="157"/>
      <c r="S406" s="157"/>
      <c r="T406" s="157"/>
      <c r="U406" s="157"/>
      <c r="V406" s="157"/>
      <c r="W406" s="157"/>
      <c r="X406" s="157"/>
      <c r="Y406" s="157"/>
      <c r="Z406" s="157"/>
      <c r="AA406" s="157"/>
      <c r="AB406" s="157"/>
      <c r="AC406" s="157"/>
      <c r="AD406" s="157"/>
      <c r="AE406" s="157"/>
      <c r="AF406" s="165"/>
      <c r="AI406" s="109" t="str">
        <f>"72S:eiyomana_code:" &amp; IF(I406="■",1,IF(L406="■",2,0))</f>
        <v>72S:eiyomana_code:0</v>
      </c>
    </row>
    <row r="407" spans="1:35" ht="18.75" customHeight="1" x14ac:dyDescent="0.2">
      <c r="A407" s="139"/>
      <c r="B407" s="123"/>
      <c r="C407" s="237"/>
      <c r="D407" s="260"/>
      <c r="E407" s="128"/>
      <c r="F407" s="142"/>
      <c r="G407" s="270"/>
      <c r="H407" s="239" t="s">
        <v>205</v>
      </c>
      <c r="I407" s="156" t="s">
        <v>383</v>
      </c>
      <c r="J407" s="157" t="s">
        <v>250</v>
      </c>
      <c r="K407" s="158"/>
      <c r="L407" s="160" t="s">
        <v>383</v>
      </c>
      <c r="M407" s="157" t="s">
        <v>267</v>
      </c>
      <c r="N407" s="207"/>
      <c r="O407" s="157"/>
      <c r="P407" s="157"/>
      <c r="Q407" s="157"/>
      <c r="R407" s="157"/>
      <c r="S407" s="157"/>
      <c r="T407" s="157"/>
      <c r="U407" s="157"/>
      <c r="V407" s="157"/>
      <c r="W407" s="157"/>
      <c r="X407" s="157"/>
      <c r="Y407" s="157"/>
      <c r="Z407" s="157"/>
      <c r="AA407" s="157"/>
      <c r="AB407" s="157"/>
      <c r="AC407" s="157"/>
      <c r="AD407" s="157"/>
      <c r="AE407" s="157"/>
      <c r="AF407" s="165"/>
      <c r="AI407" s="109" t="str">
        <f>"72S:koukoukino_code:" &amp; IF(I407="■",1,IF(L407="■",2,0))</f>
        <v>72S:koukoukino_code:0</v>
      </c>
    </row>
    <row r="408" spans="1:35" ht="18.75" customHeight="1" x14ac:dyDescent="0.2">
      <c r="A408" s="183"/>
      <c r="B408" s="184"/>
      <c r="C408" s="264"/>
      <c r="D408" s="314"/>
      <c r="E408" s="187"/>
      <c r="F408" s="188"/>
      <c r="G408" s="267"/>
      <c r="H408" s="323" t="s">
        <v>197</v>
      </c>
      <c r="I408" s="190" t="s">
        <v>383</v>
      </c>
      <c r="J408" s="222" t="s">
        <v>250</v>
      </c>
      <c r="K408" s="230"/>
      <c r="L408" s="191" t="s">
        <v>383</v>
      </c>
      <c r="M408" s="222" t="s">
        <v>267</v>
      </c>
      <c r="N408" s="311"/>
      <c r="O408" s="222"/>
      <c r="P408" s="222"/>
      <c r="Q408" s="222"/>
      <c r="R408" s="222"/>
      <c r="S408" s="222"/>
      <c r="T408" s="222"/>
      <c r="U408" s="222"/>
      <c r="V408" s="222"/>
      <c r="W408" s="222"/>
      <c r="X408" s="222"/>
      <c r="Y408" s="222"/>
      <c r="Z408" s="222"/>
      <c r="AA408" s="222"/>
      <c r="AB408" s="222"/>
      <c r="AC408" s="222"/>
      <c r="AD408" s="222"/>
      <c r="AE408" s="222"/>
      <c r="AF408" s="285"/>
      <c r="AI408" s="109" t="str">
        <f>"72S:field212:" &amp; IF(I408="■",1,IF(L408="■",2,0))</f>
        <v>72S:field212:0</v>
      </c>
    </row>
    <row r="409" spans="1:35" ht="18.75" customHeight="1" x14ac:dyDescent="0.2">
      <c r="A409" s="139"/>
      <c r="B409" s="123"/>
      <c r="C409" s="237"/>
      <c r="D409" s="142"/>
      <c r="E409" s="128"/>
      <c r="F409" s="142"/>
      <c r="G409" s="270"/>
      <c r="H409" s="319" t="s">
        <v>181</v>
      </c>
      <c r="I409" s="150" t="s">
        <v>383</v>
      </c>
      <c r="J409" s="169" t="s">
        <v>250</v>
      </c>
      <c r="K409" s="169"/>
      <c r="L409" s="254"/>
      <c r="M409" s="203" t="s">
        <v>383</v>
      </c>
      <c r="N409" s="169" t="s">
        <v>281</v>
      </c>
      <c r="O409" s="169"/>
      <c r="P409" s="254"/>
      <c r="Q409" s="203" t="s">
        <v>383</v>
      </c>
      <c r="R409" s="151" t="s">
        <v>282</v>
      </c>
      <c r="S409" s="151"/>
      <c r="T409" s="151"/>
      <c r="U409" s="151"/>
      <c r="V409" s="169"/>
      <c r="W409" s="169"/>
      <c r="X409" s="169"/>
      <c r="Y409" s="169"/>
      <c r="Z409" s="169"/>
      <c r="AA409" s="169"/>
      <c r="AB409" s="169"/>
      <c r="AC409" s="169"/>
      <c r="AD409" s="169"/>
      <c r="AE409" s="169"/>
      <c r="AF409" s="170"/>
      <c r="AG409" s="109" t="str">
        <f>"ser_code = '" &amp; IF(A414="■",73,"") &amp; "'"</f>
        <v>ser_code = ''</v>
      </c>
      <c r="AH409" s="109"/>
      <c r="AI409" s="109" t="str">
        <f>"73S:"&amp;IF(AND(I409="□",M409="□",Q409="□"),"ketu_kangos_code:0",IF(I409="■","ketu_kangos_code:1:ketu_kshoku_code:1",IF(M409="■","ketu_kangos_code:2","ketu_kangos_code:1")&amp;IF(Q409="■",":ketu_kshoku_code:2",":ketu_kshoku_code:1")))</f>
        <v>73S:ketu_kangos_code:0</v>
      </c>
    </row>
    <row r="410" spans="1:35" ht="18.75" customHeight="1" x14ac:dyDescent="0.2">
      <c r="A410" s="139"/>
      <c r="B410" s="123"/>
      <c r="C410" s="237"/>
      <c r="D410" s="142"/>
      <c r="E410" s="128"/>
      <c r="F410" s="142"/>
      <c r="G410" s="270"/>
      <c r="H410" s="458" t="s">
        <v>185</v>
      </c>
      <c r="I410" s="349" t="s">
        <v>383</v>
      </c>
      <c r="J410" s="350" t="s">
        <v>395</v>
      </c>
      <c r="K410" s="351"/>
      <c r="L410" s="352"/>
      <c r="M410" s="353" t="s">
        <v>383</v>
      </c>
      <c r="N410" s="350" t="s">
        <v>396</v>
      </c>
      <c r="O410" s="355"/>
      <c r="P410" s="355"/>
      <c r="Q410" s="351"/>
      <c r="R410" s="351"/>
      <c r="S410" s="351"/>
      <c r="T410" s="351"/>
      <c r="U410" s="351"/>
      <c r="V410" s="351"/>
      <c r="W410" s="351"/>
      <c r="X410" s="351"/>
      <c r="Y410" s="567"/>
      <c r="Z410" s="567"/>
      <c r="AA410" s="567"/>
      <c r="AB410" s="567"/>
      <c r="AC410" s="567"/>
      <c r="AD410" s="567"/>
      <c r="AE410" s="567"/>
      <c r="AF410" s="566"/>
      <c r="AG410" s="109" t="str">
        <f>"73S:sisetukbn_code:" &amp; IF(D414="■",1,IF(D415="■",2,0))</f>
        <v>73S:sisetukbn_code:0</v>
      </c>
      <c r="AI410" s="109" t="str">
        <f>"73S:sintaikousoku_code:" &amp; IF(I410="■",1,IF(M410="■",2,0))</f>
        <v>73S:sintaikousoku_code:0</v>
      </c>
    </row>
    <row r="411" spans="1:35" ht="18.75" customHeight="1" x14ac:dyDescent="0.2">
      <c r="A411" s="139"/>
      <c r="B411" s="123"/>
      <c r="C411" s="237"/>
      <c r="D411" s="142"/>
      <c r="E411" s="128"/>
      <c r="F411" s="142"/>
      <c r="G411" s="270"/>
      <c r="H411" s="348" t="s">
        <v>430</v>
      </c>
      <c r="I411" s="349" t="s">
        <v>383</v>
      </c>
      <c r="J411" s="350" t="s">
        <v>395</v>
      </c>
      <c r="K411" s="351"/>
      <c r="L411" s="352"/>
      <c r="M411" s="353" t="s">
        <v>383</v>
      </c>
      <c r="N411" s="350" t="s">
        <v>431</v>
      </c>
      <c r="O411" s="354"/>
      <c r="P411" s="350"/>
      <c r="Q411" s="355"/>
      <c r="R411" s="355"/>
      <c r="S411" s="355"/>
      <c r="T411" s="355"/>
      <c r="U411" s="355"/>
      <c r="V411" s="355"/>
      <c r="W411" s="355"/>
      <c r="X411" s="355"/>
      <c r="Y411" s="355"/>
      <c r="Z411" s="355"/>
      <c r="AA411" s="355"/>
      <c r="AB411" s="355"/>
      <c r="AC411" s="355"/>
      <c r="AD411" s="355"/>
      <c r="AE411" s="355"/>
      <c r="AF411" s="566"/>
      <c r="AG411" s="109"/>
      <c r="AI411" s="109" t="str">
        <f>"73S:field223:" &amp; IF(I411="■",1,IF(M411="■",2,0))</f>
        <v>73S:field223:0</v>
      </c>
    </row>
    <row r="412" spans="1:35" ht="19.5" customHeight="1" x14ac:dyDescent="0.2">
      <c r="A412" s="139"/>
      <c r="B412" s="123"/>
      <c r="C412" s="140"/>
      <c r="D412" s="141"/>
      <c r="E412" s="128"/>
      <c r="F412" s="142"/>
      <c r="G412" s="143"/>
      <c r="H412" s="348" t="s">
        <v>448</v>
      </c>
      <c r="I412" s="572" t="s">
        <v>383</v>
      </c>
      <c r="J412" s="350" t="s">
        <v>395</v>
      </c>
      <c r="K412" s="350"/>
      <c r="L412" s="352"/>
      <c r="M412" s="573" t="s">
        <v>383</v>
      </c>
      <c r="N412" s="350" t="s">
        <v>431</v>
      </c>
      <c r="O412" s="574"/>
      <c r="P412" s="350"/>
      <c r="Q412" s="531"/>
      <c r="R412" s="531"/>
      <c r="S412" s="531"/>
      <c r="T412" s="531"/>
      <c r="U412" s="531"/>
      <c r="V412" s="531"/>
      <c r="W412" s="531"/>
      <c r="X412" s="531"/>
      <c r="Y412" s="531"/>
      <c r="Z412" s="531"/>
      <c r="AA412" s="531"/>
      <c r="AB412" s="531"/>
      <c r="AC412" s="531"/>
      <c r="AD412" s="531"/>
      <c r="AE412" s="531"/>
      <c r="AF412" s="566"/>
      <c r="AI412" s="109" t="str">
        <f>"73S:field232:" &amp; IF(I412="■",1,IF(M412="■",2,0))</f>
        <v>73S:field232:0</v>
      </c>
    </row>
    <row r="413" spans="1:35" ht="18.75" customHeight="1" x14ac:dyDescent="0.2">
      <c r="A413" s="141"/>
      <c r="B413" s="108"/>
      <c r="C413" s="141"/>
      <c r="D413" s="141"/>
      <c r="F413" s="142"/>
      <c r="G413" s="270"/>
      <c r="H413" s="439" t="s">
        <v>192</v>
      </c>
      <c r="I413" s="349" t="s">
        <v>383</v>
      </c>
      <c r="J413" s="350" t="s">
        <v>250</v>
      </c>
      <c r="K413" s="351"/>
      <c r="L413" s="353" t="s">
        <v>383</v>
      </c>
      <c r="M413" s="350" t="s">
        <v>267</v>
      </c>
      <c r="N413" s="531"/>
      <c r="O413" s="350"/>
      <c r="P413" s="350"/>
      <c r="Q413" s="350"/>
      <c r="R413" s="350"/>
      <c r="S413" s="350"/>
      <c r="T413" s="350"/>
      <c r="U413" s="350"/>
      <c r="V413" s="350"/>
      <c r="W413" s="350"/>
      <c r="X413" s="350"/>
      <c r="Y413" s="350"/>
      <c r="Z413" s="350"/>
      <c r="AA413" s="350"/>
      <c r="AB413" s="350"/>
      <c r="AC413" s="350"/>
      <c r="AD413" s="350"/>
      <c r="AE413" s="350"/>
      <c r="AF413" s="459"/>
      <c r="AI413" s="109" t="str">
        <f>"73S:tokutiiki_code:" &amp; IF(I413="■",1,IF(L413="■",2,0))</f>
        <v>73S:tokutiiki_code:0</v>
      </c>
    </row>
    <row r="414" spans="1:35" ht="18.75" customHeight="1" x14ac:dyDescent="0.2">
      <c r="A414" s="125" t="s">
        <v>383</v>
      </c>
      <c r="B414" s="123">
        <v>73</v>
      </c>
      <c r="C414" s="237" t="s">
        <v>547</v>
      </c>
      <c r="D414" s="125" t="s">
        <v>383</v>
      </c>
      <c r="E414" s="128" t="s">
        <v>610</v>
      </c>
      <c r="F414" s="142"/>
      <c r="G414" s="270"/>
      <c r="H414" s="790" t="s">
        <v>207</v>
      </c>
      <c r="I414" s="797" t="s">
        <v>383</v>
      </c>
      <c r="J414" s="796" t="s">
        <v>256</v>
      </c>
      <c r="K414" s="796"/>
      <c r="L414" s="796"/>
      <c r="M414" s="797" t="s">
        <v>383</v>
      </c>
      <c r="N414" s="796" t="s">
        <v>257</v>
      </c>
      <c r="O414" s="796"/>
      <c r="P414" s="796"/>
      <c r="Q414" s="410"/>
      <c r="R414" s="410"/>
      <c r="S414" s="410"/>
      <c r="T414" s="410"/>
      <c r="U414" s="410"/>
      <c r="V414" s="410"/>
      <c r="W414" s="410"/>
      <c r="X414" s="410"/>
      <c r="Y414" s="410"/>
      <c r="Z414" s="410"/>
      <c r="AA414" s="410"/>
      <c r="AB414" s="410"/>
      <c r="AC414" s="410"/>
      <c r="AD414" s="410"/>
      <c r="AE414" s="410"/>
      <c r="AF414" s="411"/>
      <c r="AI414" s="109" t="str">
        <f>"73S:chuusankanti_tiiki_code:" &amp; IF(I414="■",1,IF(M414="■",2,0))</f>
        <v>73S:chuusankanti_tiiki_code:0</v>
      </c>
    </row>
    <row r="415" spans="1:35" ht="18.75" customHeight="1" x14ac:dyDescent="0.2">
      <c r="A415" s="141"/>
      <c r="B415" s="123"/>
      <c r="C415" s="237"/>
      <c r="D415" s="125" t="s">
        <v>383</v>
      </c>
      <c r="E415" s="128" t="s">
        <v>549</v>
      </c>
      <c r="F415" s="142"/>
      <c r="G415" s="270"/>
      <c r="H415" s="791"/>
      <c r="I415" s="793"/>
      <c r="J415" s="795"/>
      <c r="K415" s="795"/>
      <c r="L415" s="795"/>
      <c r="M415" s="793"/>
      <c r="N415" s="795"/>
      <c r="O415" s="795"/>
      <c r="P415" s="795"/>
      <c r="Q415" s="436"/>
      <c r="R415" s="436"/>
      <c r="S415" s="436"/>
      <c r="T415" s="436"/>
      <c r="U415" s="436"/>
      <c r="V415" s="436"/>
      <c r="W415" s="436"/>
      <c r="X415" s="436"/>
      <c r="Y415" s="436"/>
      <c r="Z415" s="436"/>
      <c r="AA415" s="436"/>
      <c r="AB415" s="436"/>
      <c r="AC415" s="436"/>
      <c r="AD415" s="436"/>
      <c r="AE415" s="436"/>
      <c r="AF415" s="437"/>
    </row>
    <row r="416" spans="1:35" ht="18.75" customHeight="1" x14ac:dyDescent="0.2">
      <c r="A416" s="141"/>
      <c r="B416" s="123"/>
      <c r="C416" s="237"/>
      <c r="E416" s="128" t="s">
        <v>551</v>
      </c>
      <c r="F416" s="142"/>
      <c r="G416" s="270"/>
      <c r="H416" s="530" t="s">
        <v>129</v>
      </c>
      <c r="I416" s="536" t="s">
        <v>383</v>
      </c>
      <c r="J416" s="350" t="s">
        <v>250</v>
      </c>
      <c r="K416" s="350"/>
      <c r="L416" s="353" t="s">
        <v>383</v>
      </c>
      <c r="M416" s="350" t="s">
        <v>251</v>
      </c>
      <c r="N416" s="350"/>
      <c r="O416" s="561" t="s">
        <v>383</v>
      </c>
      <c r="P416" s="350" t="s">
        <v>252</v>
      </c>
      <c r="Q416" s="531"/>
      <c r="R416" s="350"/>
      <c r="S416" s="350"/>
      <c r="T416" s="531"/>
      <c r="U416" s="350"/>
      <c r="V416" s="350"/>
      <c r="W416" s="531"/>
      <c r="X416" s="436"/>
      <c r="Y416" s="355"/>
      <c r="Z416" s="355"/>
      <c r="AA416" s="355"/>
      <c r="AB416" s="355"/>
      <c r="AC416" s="355"/>
      <c r="AD416" s="355"/>
      <c r="AE416" s="355"/>
      <c r="AF416" s="356"/>
      <c r="AI416" s="109" t="str">
        <f>"73S:field167:" &amp; IF(I416="■",1,IF(L416="■",2,IF(O416="■",3,0)))</f>
        <v>73S:field167:0</v>
      </c>
    </row>
    <row r="417" spans="1:35" ht="18.75" customHeight="1" x14ac:dyDescent="0.2">
      <c r="A417" s="139"/>
      <c r="B417" s="123"/>
      <c r="C417" s="237"/>
      <c r="F417" s="142"/>
      <c r="G417" s="270"/>
      <c r="H417" s="569" t="s">
        <v>550</v>
      </c>
      <c r="I417" s="349" t="s">
        <v>383</v>
      </c>
      <c r="J417" s="350" t="s">
        <v>250</v>
      </c>
      <c r="K417" s="351"/>
      <c r="L417" s="353" t="s">
        <v>383</v>
      </c>
      <c r="M417" s="350" t="s">
        <v>267</v>
      </c>
      <c r="N417" s="531"/>
      <c r="O417" s="350"/>
      <c r="P417" s="350"/>
      <c r="Q417" s="350"/>
      <c r="R417" s="350"/>
      <c r="S417" s="350"/>
      <c r="T417" s="350"/>
      <c r="U417" s="350"/>
      <c r="V417" s="350"/>
      <c r="W417" s="350"/>
      <c r="X417" s="350"/>
      <c r="Y417" s="350"/>
      <c r="Z417" s="350"/>
      <c r="AA417" s="350"/>
      <c r="AB417" s="350"/>
      <c r="AC417" s="350"/>
      <c r="AD417" s="350"/>
      <c r="AE417" s="350"/>
      <c r="AF417" s="459"/>
      <c r="AI417" s="109" t="str">
        <f>"73S:jyakuninti_uke_code:" &amp; IF(I417="■",1,IF(L417="■",2,0))</f>
        <v>73S:jyakuninti_uke_code:0</v>
      </c>
    </row>
    <row r="418" spans="1:35" ht="18.75" customHeight="1" x14ac:dyDescent="0.2">
      <c r="A418" s="141"/>
      <c r="B418" s="178"/>
      <c r="C418" s="124"/>
      <c r="F418" s="142"/>
      <c r="G418" s="270"/>
      <c r="H418" s="569" t="s">
        <v>552</v>
      </c>
      <c r="I418" s="349" t="s">
        <v>383</v>
      </c>
      <c r="J418" s="350" t="s">
        <v>250</v>
      </c>
      <c r="K418" s="350"/>
      <c r="L418" s="353" t="s">
        <v>383</v>
      </c>
      <c r="M418" s="350" t="s">
        <v>251</v>
      </c>
      <c r="N418" s="350"/>
      <c r="O418" s="353" t="s">
        <v>383</v>
      </c>
      <c r="P418" s="350" t="s">
        <v>252</v>
      </c>
      <c r="Q418" s="531"/>
      <c r="R418" s="353" t="s">
        <v>383</v>
      </c>
      <c r="S418" s="350" t="s">
        <v>253</v>
      </c>
      <c r="T418" s="531"/>
      <c r="U418" s="350"/>
      <c r="V418" s="350"/>
      <c r="W418" s="350"/>
      <c r="X418" s="350"/>
      <c r="Y418" s="350"/>
      <c r="Z418" s="350"/>
      <c r="AA418" s="350"/>
      <c r="AB418" s="350"/>
      <c r="AC418" s="350"/>
      <c r="AD418" s="350"/>
      <c r="AE418" s="350"/>
      <c r="AF418" s="459"/>
      <c r="AI418" s="109" t="str">
        <f>"73S:kangos_haiti_code:" &amp; IF(I418="■",1,IF(L418="■",2,IF(O418="■",3,IF(R418="■",4,0))))</f>
        <v>73S:kangos_haiti_code:0</v>
      </c>
    </row>
    <row r="419" spans="1:35" ht="18.75" customHeight="1" x14ac:dyDescent="0.2">
      <c r="A419" s="141"/>
      <c r="B419" s="178"/>
      <c r="C419" s="124"/>
      <c r="F419" s="142"/>
      <c r="G419" s="270"/>
      <c r="H419" s="569" t="s">
        <v>611</v>
      </c>
      <c r="I419" s="349" t="s">
        <v>383</v>
      </c>
      <c r="J419" s="350" t="s">
        <v>250</v>
      </c>
      <c r="K419" s="351"/>
      <c r="L419" s="353" t="s">
        <v>383</v>
      </c>
      <c r="M419" s="350" t="s">
        <v>267</v>
      </c>
      <c r="N419" s="531"/>
      <c r="O419" s="350"/>
      <c r="P419" s="350"/>
      <c r="Q419" s="350"/>
      <c r="R419" s="350"/>
      <c r="S419" s="350"/>
      <c r="T419" s="350"/>
      <c r="U419" s="350"/>
      <c r="V419" s="350"/>
      <c r="W419" s="350"/>
      <c r="X419" s="350"/>
      <c r="Y419" s="350"/>
      <c r="Z419" s="350"/>
      <c r="AA419" s="350"/>
      <c r="AB419" s="350"/>
      <c r="AC419" s="350"/>
      <c r="AD419" s="350"/>
      <c r="AE419" s="350"/>
      <c r="AF419" s="459"/>
      <c r="AI419" s="109" t="str">
        <f>"73S:field171:" &amp; IF(I419="■",1,IF(L419="■",2,0))</f>
        <v>73S:field171:0</v>
      </c>
    </row>
    <row r="420" spans="1:35" ht="18.75" customHeight="1" x14ac:dyDescent="0.2">
      <c r="A420" s="139"/>
      <c r="B420" s="123"/>
      <c r="C420" s="237"/>
      <c r="D420" s="220"/>
      <c r="E420" s="128"/>
      <c r="F420" s="142"/>
      <c r="G420" s="270"/>
      <c r="H420" s="569" t="s">
        <v>554</v>
      </c>
      <c r="I420" s="349" t="s">
        <v>383</v>
      </c>
      <c r="J420" s="350" t="s">
        <v>250</v>
      </c>
      <c r="K420" s="351"/>
      <c r="L420" s="353" t="s">
        <v>383</v>
      </c>
      <c r="M420" s="350" t="s">
        <v>267</v>
      </c>
      <c r="N420" s="531"/>
      <c r="O420" s="350"/>
      <c r="P420" s="350"/>
      <c r="Q420" s="350"/>
      <c r="R420" s="350"/>
      <c r="S420" s="350"/>
      <c r="T420" s="350"/>
      <c r="U420" s="350"/>
      <c r="V420" s="350"/>
      <c r="W420" s="350"/>
      <c r="X420" s="350"/>
      <c r="Y420" s="350"/>
      <c r="Z420" s="350"/>
      <c r="AA420" s="350"/>
      <c r="AB420" s="350"/>
      <c r="AC420" s="350"/>
      <c r="AD420" s="350"/>
      <c r="AE420" s="350"/>
      <c r="AF420" s="459"/>
      <c r="AI420" s="109" t="str">
        <f>"73S:field172:" &amp; IF(I420="■",1,IF(L420="■",2,0))</f>
        <v>73S:field172:0</v>
      </c>
    </row>
    <row r="421" spans="1:35" ht="18.75" customHeight="1" x14ac:dyDescent="0.2">
      <c r="A421" s="139"/>
      <c r="B421" s="123"/>
      <c r="C421" s="237"/>
      <c r="D421" s="142"/>
      <c r="E421" s="128"/>
      <c r="F421" s="142"/>
      <c r="G421" s="270"/>
      <c r="H421" s="508" t="s">
        <v>522</v>
      </c>
      <c r="I421" s="349" t="s">
        <v>383</v>
      </c>
      <c r="J421" s="350" t="s">
        <v>250</v>
      </c>
      <c r="K421" s="351"/>
      <c r="L421" s="353" t="s">
        <v>383</v>
      </c>
      <c r="M421" s="350" t="s">
        <v>268</v>
      </c>
      <c r="N421" s="350"/>
      <c r="O421" s="561" t="s">
        <v>383</v>
      </c>
      <c r="P421" s="375" t="s">
        <v>269</v>
      </c>
      <c r="Q421" s="350"/>
      <c r="R421" s="350"/>
      <c r="S421" s="351"/>
      <c r="T421" s="350"/>
      <c r="U421" s="351"/>
      <c r="V421" s="351"/>
      <c r="W421" s="351"/>
      <c r="X421" s="351"/>
      <c r="Y421" s="350"/>
      <c r="Z421" s="350"/>
      <c r="AA421" s="350"/>
      <c r="AB421" s="350"/>
      <c r="AC421" s="350"/>
      <c r="AD421" s="350"/>
      <c r="AE421" s="350"/>
      <c r="AF421" s="459"/>
      <c r="AI421" s="109" t="str">
        <f>"73S:field168:" &amp; IF(I421="■",1,IF(L421="■",3,IF(O421="■",2,0)))</f>
        <v>73S:field168:0</v>
      </c>
    </row>
    <row r="422" spans="1:35" ht="18.75" customHeight="1" x14ac:dyDescent="0.2">
      <c r="A422" s="183"/>
      <c r="B422" s="184"/>
      <c r="C422" s="264"/>
      <c r="D422" s="188"/>
      <c r="E422" s="187"/>
      <c r="F422" s="188"/>
      <c r="G422" s="267"/>
      <c r="H422" s="575" t="s">
        <v>197</v>
      </c>
      <c r="I422" s="349" t="s">
        <v>383</v>
      </c>
      <c r="J422" s="350" t="s">
        <v>250</v>
      </c>
      <c r="K422" s="351"/>
      <c r="L422" s="353" t="s">
        <v>383</v>
      </c>
      <c r="M422" s="350" t="s">
        <v>267</v>
      </c>
      <c r="N422" s="531"/>
      <c r="O422" s="358"/>
      <c r="P422" s="358"/>
      <c r="Q422" s="358"/>
      <c r="R422" s="358"/>
      <c r="S422" s="358"/>
      <c r="T422" s="358"/>
      <c r="U422" s="358"/>
      <c r="V422" s="358"/>
      <c r="W422" s="358"/>
      <c r="X422" s="358"/>
      <c r="Y422" s="358"/>
      <c r="Z422" s="358"/>
      <c r="AA422" s="358"/>
      <c r="AB422" s="358"/>
      <c r="AC422" s="358"/>
      <c r="AD422" s="358"/>
      <c r="AE422" s="358"/>
      <c r="AF422" s="576"/>
      <c r="AG422" s="109"/>
      <c r="AH422" s="109"/>
      <c r="AI422" s="109" t="str">
        <f>"73S:field212:" &amp; IF(I422="■",1,IF(L422="■",2,0))</f>
        <v>73S:field212:0</v>
      </c>
    </row>
    <row r="423" spans="1:35" ht="18.75" customHeight="1" x14ac:dyDescent="0.2">
      <c r="A423" s="129"/>
      <c r="B423" s="116"/>
      <c r="C423" s="233"/>
      <c r="D423" s="131"/>
      <c r="E423" s="225"/>
      <c r="F423" s="132"/>
      <c r="G423" s="136"/>
      <c r="H423" s="577" t="s">
        <v>181</v>
      </c>
      <c r="I423" s="367" t="s">
        <v>383</v>
      </c>
      <c r="J423" s="368" t="s">
        <v>250</v>
      </c>
      <c r="K423" s="368"/>
      <c r="L423" s="370"/>
      <c r="M423" s="371" t="s">
        <v>383</v>
      </c>
      <c r="N423" s="368" t="s">
        <v>281</v>
      </c>
      <c r="O423" s="368"/>
      <c r="P423" s="370"/>
      <c r="Q423" s="371" t="s">
        <v>383</v>
      </c>
      <c r="R423" s="457" t="s">
        <v>282</v>
      </c>
      <c r="S423" s="457"/>
      <c r="T423" s="457"/>
      <c r="U423" s="457"/>
      <c r="V423" s="368"/>
      <c r="W423" s="368"/>
      <c r="X423" s="368"/>
      <c r="Y423" s="368"/>
      <c r="Z423" s="368"/>
      <c r="AA423" s="368"/>
      <c r="AB423" s="368"/>
      <c r="AC423" s="368"/>
      <c r="AD423" s="368"/>
      <c r="AE423" s="368"/>
      <c r="AF423" s="578"/>
      <c r="AG423" s="109" t="str">
        <f>"ser_code = '" &amp; IF(A425="■","68S","") &amp; "'"</f>
        <v>ser_code = ''</v>
      </c>
      <c r="AH423" s="109"/>
      <c r="AI423" s="109" t="str">
        <f>"68S:"&amp;IF(AND(I423="□",M423="□",Q423="□"),"ketu_kangos_code:0",IF(I423="■","ketu_kangos_code:1:ketu_kshoku_code:1",IF(M423="■","ketu_kangos_code:2","ketu_kangos_code:1")&amp;IF(Q423="■",":ketu_kshoku_code:2",":ketu_kshoku_code:1")))</f>
        <v>68S:ketu_kangos_code:0</v>
      </c>
    </row>
    <row r="424" spans="1:35" ht="18.75" customHeight="1" x14ac:dyDescent="0.2">
      <c r="A424" s="139"/>
      <c r="B424" s="123"/>
      <c r="C424" s="237"/>
      <c r="D424" s="142"/>
      <c r="E424" s="128"/>
      <c r="F424" s="142"/>
      <c r="G424" s="270"/>
      <c r="H424" s="458" t="s">
        <v>185</v>
      </c>
      <c r="I424" s="349" t="s">
        <v>383</v>
      </c>
      <c r="J424" s="350" t="s">
        <v>395</v>
      </c>
      <c r="K424" s="351"/>
      <c r="L424" s="352"/>
      <c r="M424" s="353" t="s">
        <v>383</v>
      </c>
      <c r="N424" s="350" t="s">
        <v>396</v>
      </c>
      <c r="O424" s="355"/>
      <c r="P424" s="355"/>
      <c r="Q424" s="351"/>
      <c r="R424" s="351"/>
      <c r="S424" s="351"/>
      <c r="T424" s="351"/>
      <c r="U424" s="351"/>
      <c r="V424" s="351"/>
      <c r="W424" s="351"/>
      <c r="X424" s="351"/>
      <c r="Y424" s="567"/>
      <c r="Z424" s="567"/>
      <c r="AA424" s="567"/>
      <c r="AB424" s="567"/>
      <c r="AC424" s="567"/>
      <c r="AD424" s="567"/>
      <c r="AE424" s="567"/>
      <c r="AF424" s="566"/>
      <c r="AG424" s="109" t="str">
        <f>"68S:sisetukbn_code:" &amp; IF(D425="■",1,IF(D426="■",2,0))</f>
        <v>68S:sisetukbn_code:0</v>
      </c>
      <c r="AI424" s="109" t="str">
        <f>"68S:sintaikousoku_code:" &amp; IF(I424="■",1,IF(M424="■",2,0))</f>
        <v>68S:sintaikousoku_code:0</v>
      </c>
    </row>
    <row r="425" spans="1:35" ht="18.75" customHeight="1" x14ac:dyDescent="0.2">
      <c r="A425" s="125" t="s">
        <v>383</v>
      </c>
      <c r="B425" s="123">
        <v>68</v>
      </c>
      <c r="C425" s="237" t="s">
        <v>555</v>
      </c>
      <c r="D425" s="125" t="s">
        <v>383</v>
      </c>
      <c r="E425" s="128" t="s">
        <v>610</v>
      </c>
      <c r="F425" s="142"/>
      <c r="G425" s="270"/>
      <c r="H425" s="348" t="s">
        <v>430</v>
      </c>
      <c r="I425" s="349" t="s">
        <v>383</v>
      </c>
      <c r="J425" s="350" t="s">
        <v>395</v>
      </c>
      <c r="K425" s="351"/>
      <c r="L425" s="352"/>
      <c r="M425" s="353" t="s">
        <v>383</v>
      </c>
      <c r="N425" s="350" t="s">
        <v>431</v>
      </c>
      <c r="O425" s="355"/>
      <c r="P425" s="350"/>
      <c r="Q425" s="355"/>
      <c r="R425" s="355"/>
      <c r="S425" s="355"/>
      <c r="T425" s="355"/>
      <c r="U425" s="355"/>
      <c r="V425" s="355"/>
      <c r="W425" s="355"/>
      <c r="X425" s="355"/>
      <c r="Y425" s="355"/>
      <c r="Z425" s="355"/>
      <c r="AA425" s="355"/>
      <c r="AB425" s="355"/>
      <c r="AC425" s="355"/>
      <c r="AD425" s="355"/>
      <c r="AE425" s="355"/>
      <c r="AF425" s="566"/>
      <c r="AG425" s="109"/>
      <c r="AI425" s="109" t="str">
        <f>"68S:field223:" &amp; IF(I425="■",1,IF(M425="■",2,0))</f>
        <v>68S:field223:0</v>
      </c>
    </row>
    <row r="426" spans="1:35" ht="18.75" customHeight="1" x14ac:dyDescent="0.2">
      <c r="A426" s="139"/>
      <c r="B426" s="123"/>
      <c r="C426" s="237" t="s">
        <v>556</v>
      </c>
      <c r="D426" s="125" t="s">
        <v>383</v>
      </c>
      <c r="E426" s="128" t="s">
        <v>549</v>
      </c>
      <c r="F426" s="142"/>
      <c r="G426" s="270"/>
      <c r="H426" s="348" t="s">
        <v>448</v>
      </c>
      <c r="I426" s="349" t="s">
        <v>383</v>
      </c>
      <c r="J426" s="350" t="s">
        <v>395</v>
      </c>
      <c r="K426" s="351"/>
      <c r="L426" s="352"/>
      <c r="M426" s="353" t="s">
        <v>383</v>
      </c>
      <c r="N426" s="350" t="s">
        <v>431</v>
      </c>
      <c r="O426" s="355"/>
      <c r="P426" s="350"/>
      <c r="Q426" s="355"/>
      <c r="R426" s="355"/>
      <c r="S426" s="355"/>
      <c r="T426" s="355"/>
      <c r="U426" s="355"/>
      <c r="V426" s="355"/>
      <c r="W426" s="355"/>
      <c r="X426" s="355"/>
      <c r="Y426" s="355"/>
      <c r="Z426" s="355"/>
      <c r="AA426" s="355"/>
      <c r="AB426" s="355"/>
      <c r="AC426" s="355"/>
      <c r="AD426" s="355"/>
      <c r="AE426" s="355"/>
      <c r="AF426" s="566"/>
      <c r="AI426" s="109" t="str">
        <f>"68S:field232:" &amp; IF(I426="■",1,IF(M426="■",2,0))</f>
        <v>68S:field232:0</v>
      </c>
    </row>
    <row r="427" spans="1:35" ht="18.75" customHeight="1" x14ac:dyDescent="0.2">
      <c r="A427" s="141"/>
      <c r="B427" s="178"/>
      <c r="C427" s="178"/>
      <c r="D427" s="142"/>
      <c r="E427" s="128" t="s">
        <v>551</v>
      </c>
      <c r="F427" s="142"/>
      <c r="G427" s="270"/>
      <c r="H427" s="790" t="s">
        <v>207</v>
      </c>
      <c r="I427" s="797" t="s">
        <v>383</v>
      </c>
      <c r="J427" s="796" t="s">
        <v>256</v>
      </c>
      <c r="K427" s="796"/>
      <c r="L427" s="796"/>
      <c r="M427" s="797" t="s">
        <v>383</v>
      </c>
      <c r="N427" s="796" t="s">
        <v>257</v>
      </c>
      <c r="O427" s="796"/>
      <c r="P427" s="796"/>
      <c r="Q427" s="410"/>
      <c r="R427" s="410"/>
      <c r="S427" s="410"/>
      <c r="T427" s="410"/>
      <c r="U427" s="410"/>
      <c r="V427" s="410"/>
      <c r="W427" s="410"/>
      <c r="X427" s="410"/>
      <c r="Y427" s="410"/>
      <c r="Z427" s="410"/>
      <c r="AA427" s="410"/>
      <c r="AB427" s="410"/>
      <c r="AC427" s="410"/>
      <c r="AD427" s="410"/>
      <c r="AE427" s="410"/>
      <c r="AF427" s="411"/>
      <c r="AI427" s="109" t="str">
        <f>"68S:chuusankanti_tiiki_code:" &amp; IF(I427="■",1,IF(M427="■",2,0))</f>
        <v>68S:chuusankanti_tiiki_code:0</v>
      </c>
    </row>
    <row r="428" spans="1:35" ht="18.75" customHeight="1" x14ac:dyDescent="0.2">
      <c r="A428" s="141"/>
      <c r="B428" s="178"/>
      <c r="C428" s="124"/>
      <c r="E428" s="178"/>
      <c r="F428" s="142"/>
      <c r="G428" s="270"/>
      <c r="H428" s="836"/>
      <c r="I428" s="793"/>
      <c r="J428" s="795"/>
      <c r="K428" s="795"/>
      <c r="L428" s="795"/>
      <c r="M428" s="793"/>
      <c r="N428" s="795"/>
      <c r="O428" s="795"/>
      <c r="P428" s="795"/>
      <c r="Q428" s="436"/>
      <c r="R428" s="436"/>
      <c r="S428" s="436"/>
      <c r="T428" s="436"/>
      <c r="U428" s="436"/>
      <c r="V428" s="436"/>
      <c r="W428" s="436"/>
      <c r="X428" s="436"/>
      <c r="Y428" s="436"/>
      <c r="Z428" s="436"/>
      <c r="AA428" s="436"/>
      <c r="AB428" s="436"/>
      <c r="AC428" s="436"/>
      <c r="AD428" s="436"/>
      <c r="AE428" s="436"/>
      <c r="AF428" s="437"/>
    </row>
    <row r="429" spans="1:35" ht="18.75" customHeight="1" x14ac:dyDescent="0.2">
      <c r="A429" s="129"/>
      <c r="B429" s="116"/>
      <c r="C429" s="233"/>
      <c r="D429" s="132"/>
      <c r="E429" s="121"/>
      <c r="F429" s="132"/>
      <c r="G429" s="136"/>
      <c r="H429" s="577" t="s">
        <v>546</v>
      </c>
      <c r="I429" s="367" t="s">
        <v>383</v>
      </c>
      <c r="J429" s="368" t="s">
        <v>250</v>
      </c>
      <c r="K429" s="368"/>
      <c r="L429" s="370"/>
      <c r="M429" s="371" t="s">
        <v>383</v>
      </c>
      <c r="N429" s="368" t="s">
        <v>281</v>
      </c>
      <c r="O429" s="368"/>
      <c r="P429" s="370"/>
      <c r="Q429" s="371" t="s">
        <v>383</v>
      </c>
      <c r="R429" s="457" t="s">
        <v>282</v>
      </c>
      <c r="S429" s="457"/>
      <c r="T429" s="457"/>
      <c r="U429" s="457"/>
      <c r="V429" s="368"/>
      <c r="W429" s="368"/>
      <c r="X429" s="368"/>
      <c r="Y429" s="368"/>
      <c r="Z429" s="368"/>
      <c r="AA429" s="368"/>
      <c r="AB429" s="368"/>
      <c r="AC429" s="368"/>
      <c r="AD429" s="368"/>
      <c r="AE429" s="368"/>
      <c r="AF429" s="578"/>
      <c r="AG429" s="109" t="str">
        <f>"ser_code = '" &amp; IF(A439="■","77S","") &amp; "'"</f>
        <v>ser_code = ''</v>
      </c>
      <c r="AH429" s="109"/>
      <c r="AI429" s="109" t="str">
        <f>"77S:"&amp;IF(AND(I429="□",M429="□",Q429="□"),"ketu_kangos_code:0",IF(I429="■","ketu_kangos_code:1:ketu_kshoku_code:1",IF(M429="■","ketu_kangos_code:2","ketu_kangos_code:1")&amp;IF(Q429="■",":ketu_kshoku_code:2",":ketu_kshoku_code:1")))</f>
        <v>77S:ketu_kangos_code:0</v>
      </c>
    </row>
    <row r="430" spans="1:35" ht="18.75" customHeight="1" x14ac:dyDescent="0.2">
      <c r="A430" s="139"/>
      <c r="B430" s="123"/>
      <c r="C430" s="237"/>
      <c r="D430" s="142"/>
      <c r="E430" s="128"/>
      <c r="F430" s="142"/>
      <c r="G430" s="270"/>
      <c r="H430" s="458" t="s">
        <v>185</v>
      </c>
      <c r="I430" s="349" t="s">
        <v>383</v>
      </c>
      <c r="J430" s="350" t="s">
        <v>395</v>
      </c>
      <c r="K430" s="351"/>
      <c r="L430" s="352"/>
      <c r="M430" s="353" t="s">
        <v>383</v>
      </c>
      <c r="N430" s="350" t="s">
        <v>396</v>
      </c>
      <c r="O430" s="355"/>
      <c r="P430" s="355"/>
      <c r="Q430" s="351"/>
      <c r="R430" s="351"/>
      <c r="S430" s="351"/>
      <c r="T430" s="351"/>
      <c r="U430" s="351"/>
      <c r="V430" s="351"/>
      <c r="W430" s="351"/>
      <c r="X430" s="351"/>
      <c r="Y430" s="567"/>
      <c r="Z430" s="567"/>
      <c r="AA430" s="567"/>
      <c r="AB430" s="567"/>
      <c r="AC430" s="567"/>
      <c r="AD430" s="567"/>
      <c r="AE430" s="567"/>
      <c r="AF430" s="566"/>
      <c r="AG430" s="109" t="str">
        <f>"77S:sisetukbn_code:" &amp; IF(D438="■",1,IF(D439="■",2,0))</f>
        <v>77S:sisetukbn_code:0</v>
      </c>
      <c r="AI430" s="109" t="str">
        <f>"77S:sintaikousoku_code:" &amp; IF(I430="■",1,IF(M430="■",2,0))</f>
        <v>77S:sintaikousoku_code:0</v>
      </c>
    </row>
    <row r="431" spans="1:35" ht="19.5" customHeight="1" x14ac:dyDescent="0.2">
      <c r="A431" s="139"/>
      <c r="B431" s="123"/>
      <c r="C431" s="140"/>
      <c r="D431" s="141"/>
      <c r="E431" s="128"/>
      <c r="F431" s="142"/>
      <c r="G431" s="143"/>
      <c r="H431" s="155" t="s">
        <v>430</v>
      </c>
      <c r="I431" s="156" t="s">
        <v>383</v>
      </c>
      <c r="J431" s="157" t="s">
        <v>395</v>
      </c>
      <c r="K431" s="158"/>
      <c r="L431" s="159"/>
      <c r="M431" s="160" t="s">
        <v>383</v>
      </c>
      <c r="N431" s="157" t="s">
        <v>431</v>
      </c>
      <c r="O431" s="161"/>
      <c r="P431" s="157"/>
      <c r="Q431" s="162"/>
      <c r="R431" s="162"/>
      <c r="S431" s="162"/>
      <c r="T431" s="162"/>
      <c r="U431" s="162"/>
      <c r="V431" s="162"/>
      <c r="W431" s="162"/>
      <c r="X431" s="162"/>
      <c r="Y431" s="162"/>
      <c r="Z431" s="162"/>
      <c r="AA431" s="162"/>
      <c r="AB431" s="162"/>
      <c r="AC431" s="162"/>
      <c r="AD431" s="162"/>
      <c r="AE431" s="162"/>
      <c r="AF431" s="282"/>
      <c r="AG431" s="109"/>
      <c r="AI431" s="109" t="str">
        <f>"77S:field232:" &amp; IF(I431="■",1,IF(M431="■",2,0))</f>
        <v>77S:field232:0</v>
      </c>
    </row>
    <row r="432" spans="1:35" ht="19.5" customHeight="1" x14ac:dyDescent="0.2">
      <c r="A432" s="139"/>
      <c r="B432" s="123"/>
      <c r="C432" s="140"/>
      <c r="D432" s="141"/>
      <c r="E432" s="128"/>
      <c r="F432" s="142"/>
      <c r="G432" s="143"/>
      <c r="H432" s="155" t="s">
        <v>448</v>
      </c>
      <c r="I432" s="156" t="s">
        <v>383</v>
      </c>
      <c r="J432" s="157" t="s">
        <v>395</v>
      </c>
      <c r="K432" s="158"/>
      <c r="L432" s="159"/>
      <c r="M432" s="160" t="s">
        <v>383</v>
      </c>
      <c r="N432" s="157" t="s">
        <v>431</v>
      </c>
      <c r="O432" s="161"/>
      <c r="P432" s="157"/>
      <c r="Q432" s="162"/>
      <c r="R432" s="162"/>
      <c r="S432" s="162"/>
      <c r="T432" s="162"/>
      <c r="U432" s="162"/>
      <c r="V432" s="162"/>
      <c r="W432" s="162"/>
      <c r="X432" s="162"/>
      <c r="Y432" s="162"/>
      <c r="Z432" s="162"/>
      <c r="AA432" s="162"/>
      <c r="AB432" s="162"/>
      <c r="AC432" s="162"/>
      <c r="AD432" s="162"/>
      <c r="AE432" s="162"/>
      <c r="AF432" s="282"/>
      <c r="AI432" s="109" t="str">
        <f>"77S:field232:" &amp; IF(I432="■",1,IF(M432="■",2,0))</f>
        <v>77S:field232:0</v>
      </c>
    </row>
    <row r="433" spans="1:35" ht="18.75" customHeight="1" x14ac:dyDescent="0.2">
      <c r="A433" s="139"/>
      <c r="B433" s="123"/>
      <c r="C433" s="237"/>
      <c r="D433" s="142"/>
      <c r="E433" s="128"/>
      <c r="F433" s="142"/>
      <c r="G433" s="270"/>
      <c r="H433" s="320" t="s">
        <v>591</v>
      </c>
      <c r="I433" s="156" t="s">
        <v>383</v>
      </c>
      <c r="J433" s="157" t="s">
        <v>250</v>
      </c>
      <c r="K433" s="158"/>
      <c r="L433" s="160" t="s">
        <v>383</v>
      </c>
      <c r="M433" s="157" t="s">
        <v>267</v>
      </c>
      <c r="N433" s="207"/>
      <c r="O433" s="157"/>
      <c r="P433" s="157"/>
      <c r="Q433" s="157"/>
      <c r="R433" s="157"/>
      <c r="S433" s="157"/>
      <c r="T433" s="157"/>
      <c r="U433" s="157"/>
      <c r="V433" s="157"/>
      <c r="W433" s="157"/>
      <c r="X433" s="157"/>
      <c r="Y433" s="157"/>
      <c r="Z433" s="157"/>
      <c r="AA433" s="157"/>
      <c r="AB433" s="157"/>
      <c r="AC433" s="157"/>
      <c r="AD433" s="157"/>
      <c r="AE433" s="157"/>
      <c r="AF433" s="165"/>
      <c r="AI433" s="109" t="str">
        <f>"77S:field175:" &amp; IF(I433="■",1,IF(L433="■",2,0))</f>
        <v>77S:field175:0</v>
      </c>
    </row>
    <row r="434" spans="1:35" ht="18.75" customHeight="1" x14ac:dyDescent="0.2">
      <c r="A434" s="139"/>
      <c r="B434" s="123"/>
      <c r="C434" s="237"/>
      <c r="D434" s="142"/>
      <c r="E434" s="128"/>
      <c r="F434" s="142"/>
      <c r="G434" s="270"/>
      <c r="H434" s="320" t="s">
        <v>592</v>
      </c>
      <c r="I434" s="156" t="s">
        <v>383</v>
      </c>
      <c r="J434" s="157" t="s">
        <v>300</v>
      </c>
      <c r="K434" s="158"/>
      <c r="L434" s="159"/>
      <c r="M434" s="160" t="s">
        <v>383</v>
      </c>
      <c r="N434" s="157" t="s">
        <v>332</v>
      </c>
      <c r="O434" s="162"/>
      <c r="P434" s="162"/>
      <c r="Q434" s="162"/>
      <c r="R434" s="157"/>
      <c r="S434" s="157"/>
      <c r="T434" s="157"/>
      <c r="U434" s="157"/>
      <c r="V434" s="157"/>
      <c r="W434" s="157"/>
      <c r="X434" s="157"/>
      <c r="Y434" s="157"/>
      <c r="Z434" s="157"/>
      <c r="AA434" s="157"/>
      <c r="AB434" s="157"/>
      <c r="AC434" s="157"/>
      <c r="AD434" s="157"/>
      <c r="AE434" s="157"/>
      <c r="AF434" s="165"/>
      <c r="AI434" s="109" t="str">
        <f>"77S:field195:" &amp; IF(I434="■",1,IF(M434="■",2,0))</f>
        <v>77S:field195:0</v>
      </c>
    </row>
    <row r="435" spans="1:35" ht="18.75" customHeight="1" x14ac:dyDescent="0.2">
      <c r="A435" s="139"/>
      <c r="B435" s="123"/>
      <c r="C435" s="237"/>
      <c r="D435" s="142"/>
      <c r="E435" s="128"/>
      <c r="F435" s="142"/>
      <c r="G435" s="270"/>
      <c r="H435" s="239" t="s">
        <v>192</v>
      </c>
      <c r="I435" s="156" t="s">
        <v>383</v>
      </c>
      <c r="J435" s="157" t="s">
        <v>250</v>
      </c>
      <c r="K435" s="158"/>
      <c r="L435" s="160" t="s">
        <v>383</v>
      </c>
      <c r="M435" s="157" t="s">
        <v>267</v>
      </c>
      <c r="N435" s="207"/>
      <c r="O435" s="157"/>
      <c r="P435" s="157"/>
      <c r="Q435" s="157"/>
      <c r="R435" s="157"/>
      <c r="S435" s="157"/>
      <c r="T435" s="157"/>
      <c r="U435" s="157"/>
      <c r="V435" s="157"/>
      <c r="W435" s="157"/>
      <c r="X435" s="157"/>
      <c r="Y435" s="157"/>
      <c r="Z435" s="157"/>
      <c r="AA435" s="157"/>
      <c r="AB435" s="157"/>
      <c r="AC435" s="157"/>
      <c r="AD435" s="157"/>
      <c r="AE435" s="157"/>
      <c r="AF435" s="165"/>
      <c r="AI435" s="109" t="str">
        <f>"77S:tokutiiki_code:" &amp; IF(I435="■",1,IF(L435="■",2,0))</f>
        <v>77S:tokutiiki_code:0</v>
      </c>
    </row>
    <row r="436" spans="1:35" ht="18.75" customHeight="1" x14ac:dyDescent="0.2">
      <c r="A436" s="139"/>
      <c r="B436" s="123"/>
      <c r="C436" s="237"/>
      <c r="D436" s="142"/>
      <c r="E436" s="128"/>
      <c r="F436" s="142"/>
      <c r="G436" s="270"/>
      <c r="H436" s="834" t="s">
        <v>207</v>
      </c>
      <c r="I436" s="707" t="s">
        <v>383</v>
      </c>
      <c r="J436" s="708" t="s">
        <v>256</v>
      </c>
      <c r="K436" s="708"/>
      <c r="L436" s="708"/>
      <c r="M436" s="707" t="s">
        <v>383</v>
      </c>
      <c r="N436" s="708" t="s">
        <v>257</v>
      </c>
      <c r="O436" s="708"/>
      <c r="P436" s="708"/>
      <c r="Q436" s="251"/>
      <c r="R436" s="251"/>
      <c r="S436" s="251"/>
      <c r="T436" s="251"/>
      <c r="U436" s="251"/>
      <c r="V436" s="251"/>
      <c r="W436" s="251"/>
      <c r="X436" s="251"/>
      <c r="Y436" s="251"/>
      <c r="Z436" s="251"/>
      <c r="AA436" s="251"/>
      <c r="AB436" s="251"/>
      <c r="AC436" s="251"/>
      <c r="AD436" s="251"/>
      <c r="AE436" s="251"/>
      <c r="AF436" s="252"/>
      <c r="AI436" s="109" t="str">
        <f>"77S:chuusankanti_tiiki_code:" &amp; IF(I436="■",1,IF(M436="■",2,0))</f>
        <v>77S:chuusankanti_tiiki_code:0</v>
      </c>
    </row>
    <row r="437" spans="1:35" ht="18.75" customHeight="1" x14ac:dyDescent="0.2">
      <c r="A437" s="139"/>
      <c r="B437" s="123"/>
      <c r="C437" s="237"/>
      <c r="D437" s="142"/>
      <c r="E437" s="128"/>
      <c r="F437" s="142"/>
      <c r="G437" s="270"/>
      <c r="H437" s="789"/>
      <c r="I437" s="696"/>
      <c r="J437" s="698"/>
      <c r="K437" s="698"/>
      <c r="L437" s="698"/>
      <c r="M437" s="696"/>
      <c r="N437" s="698"/>
      <c r="O437" s="698"/>
      <c r="P437" s="698"/>
      <c r="Q437" s="152"/>
      <c r="R437" s="152"/>
      <c r="S437" s="152"/>
      <c r="T437" s="152"/>
      <c r="U437" s="152"/>
      <c r="V437" s="152"/>
      <c r="W437" s="152"/>
      <c r="X437" s="152"/>
      <c r="Y437" s="152"/>
      <c r="Z437" s="152"/>
      <c r="AA437" s="152"/>
      <c r="AB437" s="152"/>
      <c r="AC437" s="152"/>
      <c r="AD437" s="152"/>
      <c r="AE437" s="152"/>
      <c r="AF437" s="153"/>
    </row>
    <row r="438" spans="1:35" ht="18.75" customHeight="1" x14ac:dyDescent="0.2">
      <c r="A438" s="139"/>
      <c r="B438" s="123"/>
      <c r="C438" s="237" t="s">
        <v>593</v>
      </c>
      <c r="D438" s="125" t="s">
        <v>383</v>
      </c>
      <c r="E438" s="128" t="s">
        <v>594</v>
      </c>
      <c r="F438" s="142"/>
      <c r="G438" s="270"/>
      <c r="H438" s="149" t="s">
        <v>129</v>
      </c>
      <c r="I438" s="175" t="s">
        <v>383</v>
      </c>
      <c r="J438" s="157" t="s">
        <v>250</v>
      </c>
      <c r="K438" s="157"/>
      <c r="L438" s="160" t="s">
        <v>383</v>
      </c>
      <c r="M438" s="157" t="s">
        <v>251</v>
      </c>
      <c r="N438" s="157"/>
      <c r="O438" s="206" t="s">
        <v>383</v>
      </c>
      <c r="P438" s="157" t="s">
        <v>252</v>
      </c>
      <c r="Q438" s="207"/>
      <c r="R438" s="157"/>
      <c r="S438" s="157"/>
      <c r="T438" s="207"/>
      <c r="U438" s="157"/>
      <c r="V438" s="157"/>
      <c r="W438" s="207"/>
      <c r="X438" s="152"/>
      <c r="Y438" s="162"/>
      <c r="Z438" s="162"/>
      <c r="AA438" s="162"/>
      <c r="AB438" s="162"/>
      <c r="AC438" s="162"/>
      <c r="AD438" s="162"/>
      <c r="AE438" s="162"/>
      <c r="AF438" s="163"/>
      <c r="AI438" s="109" t="str">
        <f>"77S:field167:" &amp; IF(I438="■",1,IF(L438="■",2,IF(O438="■",3,0)))</f>
        <v>77S:field167:0</v>
      </c>
    </row>
    <row r="439" spans="1:35" ht="18.75" customHeight="1" x14ac:dyDescent="0.2">
      <c r="A439" s="125" t="s">
        <v>383</v>
      </c>
      <c r="B439" s="123">
        <v>77</v>
      </c>
      <c r="C439" s="237" t="s">
        <v>595</v>
      </c>
      <c r="D439" s="125" t="s">
        <v>383</v>
      </c>
      <c r="E439" s="128" t="s">
        <v>596</v>
      </c>
      <c r="F439" s="142"/>
      <c r="G439" s="270"/>
      <c r="H439" s="320" t="s">
        <v>486</v>
      </c>
      <c r="I439" s="156" t="s">
        <v>383</v>
      </c>
      <c r="J439" s="157" t="s">
        <v>250</v>
      </c>
      <c r="K439" s="158"/>
      <c r="L439" s="160" t="s">
        <v>383</v>
      </c>
      <c r="M439" s="157" t="s">
        <v>267</v>
      </c>
      <c r="N439" s="207"/>
      <c r="O439" s="157"/>
      <c r="P439" s="157"/>
      <c r="Q439" s="157"/>
      <c r="R439" s="157"/>
      <c r="S439" s="157"/>
      <c r="T439" s="157"/>
      <c r="U439" s="157"/>
      <c r="V439" s="157"/>
      <c r="W439" s="157"/>
      <c r="X439" s="157"/>
      <c r="Y439" s="157"/>
      <c r="Z439" s="157"/>
      <c r="AA439" s="157"/>
      <c r="AB439" s="157"/>
      <c r="AC439" s="157"/>
      <c r="AD439" s="157"/>
      <c r="AE439" s="157"/>
      <c r="AF439" s="165"/>
      <c r="AI439" s="109" t="str">
        <f>"77S:jyakuninti_uke_code:" &amp; IF(I439="■",1,IF(L439="■",2,0))</f>
        <v>77S:jyakuninti_uke_code:0</v>
      </c>
    </row>
    <row r="440" spans="1:35" ht="18.75" customHeight="1" x14ac:dyDescent="0.2">
      <c r="A440" s="139"/>
      <c r="B440" s="123"/>
      <c r="C440" s="237" t="s">
        <v>597</v>
      </c>
      <c r="D440" s="142"/>
      <c r="E440" s="128" t="s">
        <v>551</v>
      </c>
      <c r="F440" s="142"/>
      <c r="G440" s="270"/>
      <c r="H440" s="126" t="s">
        <v>236</v>
      </c>
      <c r="I440" s="156" t="s">
        <v>383</v>
      </c>
      <c r="J440" s="157" t="s">
        <v>250</v>
      </c>
      <c r="K440" s="158"/>
      <c r="L440" s="160" t="s">
        <v>383</v>
      </c>
      <c r="M440" s="157" t="s">
        <v>267</v>
      </c>
      <c r="N440" s="207"/>
      <c r="O440" s="157"/>
      <c r="P440" s="157"/>
      <c r="Q440" s="157"/>
      <c r="R440" s="157"/>
      <c r="S440" s="157"/>
      <c r="T440" s="157"/>
      <c r="U440" s="157"/>
      <c r="V440" s="157"/>
      <c r="W440" s="157"/>
      <c r="X440" s="157"/>
      <c r="Y440" s="157"/>
      <c r="Z440" s="157"/>
      <c r="AA440" s="157"/>
      <c r="AB440" s="157"/>
      <c r="AC440" s="157"/>
      <c r="AD440" s="157"/>
      <c r="AE440" s="157"/>
      <c r="AF440" s="165"/>
      <c r="AI440" s="109" t="str">
        <f>"77S:eiyomana_code:" &amp; IF(I440="■",1,IF(L440="■",2,0))</f>
        <v>77S:eiyomana_code:0</v>
      </c>
    </row>
    <row r="441" spans="1:35" ht="18.75" customHeight="1" x14ac:dyDescent="0.2">
      <c r="A441" s="139"/>
      <c r="B441" s="123"/>
      <c r="C441" s="237"/>
      <c r="D441" s="142"/>
      <c r="E441" s="128"/>
      <c r="F441" s="142"/>
      <c r="G441" s="270"/>
      <c r="H441" s="245" t="s">
        <v>612</v>
      </c>
      <c r="I441" s="156" t="s">
        <v>383</v>
      </c>
      <c r="J441" s="157" t="s">
        <v>250</v>
      </c>
      <c r="K441" s="158"/>
      <c r="L441" s="160" t="s">
        <v>383</v>
      </c>
      <c r="M441" s="157" t="s">
        <v>267</v>
      </c>
      <c r="N441" s="207"/>
      <c r="O441" s="157"/>
      <c r="P441" s="157"/>
      <c r="Q441" s="157"/>
      <c r="R441" s="157"/>
      <c r="S441" s="157"/>
      <c r="T441" s="157"/>
      <c r="U441" s="157"/>
      <c r="V441" s="157"/>
      <c r="W441" s="157"/>
      <c r="X441" s="157"/>
      <c r="Y441" s="157"/>
      <c r="Z441" s="157"/>
      <c r="AA441" s="157"/>
      <c r="AB441" s="157"/>
      <c r="AC441" s="157"/>
      <c r="AD441" s="157"/>
      <c r="AE441" s="157"/>
      <c r="AF441" s="165"/>
      <c r="AI441" s="109" t="str">
        <f>"77S:kinkyu_code:" &amp; IF(I441="■",1,IF(L441="■",2,0))</f>
        <v>77S:kinkyu_code:0</v>
      </c>
    </row>
    <row r="442" spans="1:35" ht="18.75" customHeight="1" x14ac:dyDescent="0.2">
      <c r="A442" s="141"/>
      <c r="B442" s="178"/>
      <c r="C442" s="124"/>
      <c r="F442" s="142"/>
      <c r="G442" s="270"/>
      <c r="H442" s="320" t="s">
        <v>521</v>
      </c>
      <c r="I442" s="156" t="s">
        <v>383</v>
      </c>
      <c r="J442" s="157" t="s">
        <v>265</v>
      </c>
      <c r="K442" s="158"/>
      <c r="L442" s="207"/>
      <c r="M442" s="160" t="s">
        <v>383</v>
      </c>
      <c r="N442" s="157" t="s">
        <v>266</v>
      </c>
      <c r="O442" s="162"/>
      <c r="P442" s="162"/>
      <c r="Q442" s="162"/>
      <c r="R442" s="157"/>
      <c r="S442" s="157"/>
      <c r="T442" s="157"/>
      <c r="U442" s="157"/>
      <c r="V442" s="157"/>
      <c r="W442" s="157"/>
      <c r="X442" s="157"/>
      <c r="Y442" s="157"/>
      <c r="Z442" s="157"/>
      <c r="AA442" s="157"/>
      <c r="AB442" s="157"/>
      <c r="AC442" s="157"/>
      <c r="AD442" s="157"/>
      <c r="AE442" s="157"/>
      <c r="AF442" s="165"/>
      <c r="AI442" s="109" t="str">
        <f>"77S:tokukanri_code:" &amp; IF(I442="■",1,IF(M442="■",2,0))</f>
        <v>77S:tokukanri_code:0</v>
      </c>
    </row>
    <row r="443" spans="1:35" ht="18.75" customHeight="1" x14ac:dyDescent="0.2">
      <c r="A443" s="139"/>
      <c r="B443" s="123"/>
      <c r="C443" s="140"/>
      <c r="E443" s="128"/>
      <c r="F443" s="142"/>
      <c r="G443" s="143"/>
      <c r="H443" s="164" t="s">
        <v>436</v>
      </c>
      <c r="I443" s="175" t="s">
        <v>383</v>
      </c>
      <c r="J443" s="157" t="s">
        <v>250</v>
      </c>
      <c r="K443" s="158"/>
      <c r="L443" s="160" t="s">
        <v>383</v>
      </c>
      <c r="M443" s="157" t="s">
        <v>267</v>
      </c>
      <c r="N443" s="157"/>
      <c r="O443" s="207"/>
      <c r="P443" s="207"/>
      <c r="Q443" s="207"/>
      <c r="R443" s="207"/>
      <c r="S443" s="207"/>
      <c r="T443" s="207"/>
      <c r="U443" s="207"/>
      <c r="V443" s="207"/>
      <c r="W443" s="207"/>
      <c r="X443" s="207"/>
      <c r="Y443" s="207"/>
      <c r="Z443" s="207"/>
      <c r="AA443" s="207"/>
      <c r="AB443" s="207"/>
      <c r="AC443" s="157"/>
      <c r="AD443" s="157"/>
      <c r="AE443" s="157"/>
      <c r="AF443" s="165"/>
      <c r="AI443" s="109" t="str">
        <f>"77S:field230:" &amp; IF(I443="■",1,IF(L443="■",2,0))</f>
        <v>77S:field230:0</v>
      </c>
    </row>
    <row r="444" spans="1:35" ht="18.75" customHeight="1" x14ac:dyDescent="0.2">
      <c r="A444" s="139"/>
      <c r="B444" s="123"/>
      <c r="C444" s="237"/>
      <c r="D444" s="220"/>
      <c r="E444" s="128"/>
      <c r="F444" s="142"/>
      <c r="G444" s="270"/>
      <c r="H444" s="320" t="s">
        <v>91</v>
      </c>
      <c r="I444" s="156" t="s">
        <v>383</v>
      </c>
      <c r="J444" s="157" t="s">
        <v>250</v>
      </c>
      <c r="K444" s="158"/>
      <c r="L444" s="160" t="s">
        <v>383</v>
      </c>
      <c r="M444" s="157" t="s">
        <v>267</v>
      </c>
      <c r="N444" s="207"/>
      <c r="O444" s="157"/>
      <c r="P444" s="157"/>
      <c r="Q444" s="157"/>
      <c r="R444" s="157"/>
      <c r="S444" s="157"/>
      <c r="T444" s="157"/>
      <c r="U444" s="157"/>
      <c r="V444" s="157"/>
      <c r="W444" s="157"/>
      <c r="X444" s="157"/>
      <c r="Y444" s="157"/>
      <c r="Z444" s="157"/>
      <c r="AA444" s="157"/>
      <c r="AB444" s="157"/>
      <c r="AC444" s="157"/>
      <c r="AD444" s="157"/>
      <c r="AE444" s="157"/>
      <c r="AF444" s="165"/>
      <c r="AI444" s="109" t="str">
        <f>"77S:terminal_code:" &amp; IF(I444="■",1,IF(L444="■",2,0))</f>
        <v>77S:terminal_code:0</v>
      </c>
    </row>
    <row r="445" spans="1:35" ht="18.75" customHeight="1" x14ac:dyDescent="0.2">
      <c r="A445" s="139"/>
      <c r="B445" s="123"/>
      <c r="C445" s="140"/>
      <c r="D445" s="141"/>
      <c r="E445" s="128"/>
      <c r="F445" s="142"/>
      <c r="G445" s="143"/>
      <c r="H445" s="164" t="s">
        <v>437</v>
      </c>
      <c r="I445" s="175" t="s">
        <v>383</v>
      </c>
      <c r="J445" s="157" t="s">
        <v>250</v>
      </c>
      <c r="K445" s="158"/>
      <c r="L445" s="160" t="s">
        <v>383</v>
      </c>
      <c r="M445" s="157" t="s">
        <v>267</v>
      </c>
      <c r="N445" s="157"/>
      <c r="O445" s="207"/>
      <c r="P445" s="207"/>
      <c r="Q445" s="207"/>
      <c r="R445" s="207"/>
      <c r="S445" s="207"/>
      <c r="T445" s="207"/>
      <c r="U445" s="207"/>
      <c r="V445" s="207"/>
      <c r="W445" s="207"/>
      <c r="X445" s="207"/>
      <c r="Y445" s="207"/>
      <c r="Z445" s="207"/>
      <c r="AA445" s="207"/>
      <c r="AB445" s="207"/>
      <c r="AC445" s="157"/>
      <c r="AD445" s="157"/>
      <c r="AE445" s="157"/>
      <c r="AF445" s="165"/>
      <c r="AI445" s="109" t="str">
        <f>"77S:field231:" &amp; IF(I445="■",1,IF(L445="■",2,0))</f>
        <v>77S:field231:0</v>
      </c>
    </row>
    <row r="446" spans="1:35" ht="18.75" customHeight="1" x14ac:dyDescent="0.2">
      <c r="A446" s="139"/>
      <c r="B446" s="123"/>
      <c r="C446" s="237"/>
      <c r="D446" s="142"/>
      <c r="E446" s="128"/>
      <c r="F446" s="142"/>
      <c r="G446" s="270"/>
      <c r="H446" s="320" t="s">
        <v>477</v>
      </c>
      <c r="I446" s="156" t="s">
        <v>383</v>
      </c>
      <c r="J446" s="157" t="s">
        <v>250</v>
      </c>
      <c r="K446" s="157"/>
      <c r="L446" s="160" t="s">
        <v>383</v>
      </c>
      <c r="M446" s="157" t="s">
        <v>268</v>
      </c>
      <c r="N446" s="157"/>
      <c r="O446" s="160" t="s">
        <v>383</v>
      </c>
      <c r="P446" s="157" t="s">
        <v>269</v>
      </c>
      <c r="Q446" s="207"/>
      <c r="R446" s="207"/>
      <c r="S446" s="207"/>
      <c r="T446" s="157"/>
      <c r="U446" s="157"/>
      <c r="V446" s="157"/>
      <c r="W446" s="157"/>
      <c r="X446" s="157"/>
      <c r="Y446" s="157"/>
      <c r="Z446" s="157"/>
      <c r="AA446" s="157"/>
      <c r="AB446" s="157"/>
      <c r="AC446" s="157"/>
      <c r="AD446" s="157"/>
      <c r="AE446" s="157"/>
      <c r="AF446" s="165"/>
      <c r="AI446" s="109" t="str">
        <f>"77S:field169:" &amp; IF(I446="■",1,IF(L446="■",3,IF(O446="■",2,0)))</f>
        <v>77S:field169:0</v>
      </c>
    </row>
    <row r="447" spans="1:35" ht="18.75" customHeight="1" x14ac:dyDescent="0.2">
      <c r="A447" s="139"/>
      <c r="B447" s="123"/>
      <c r="C447" s="237"/>
      <c r="D447" s="142"/>
      <c r="E447" s="128"/>
      <c r="F447" s="142"/>
      <c r="G447" s="270"/>
      <c r="H447" s="320" t="s">
        <v>554</v>
      </c>
      <c r="I447" s="156" t="s">
        <v>383</v>
      </c>
      <c r="J447" s="157" t="s">
        <v>250</v>
      </c>
      <c r="K447" s="158"/>
      <c r="L447" s="160" t="s">
        <v>383</v>
      </c>
      <c r="M447" s="157" t="s">
        <v>267</v>
      </c>
      <c r="N447" s="207"/>
      <c r="O447" s="157"/>
      <c r="P447" s="157"/>
      <c r="Q447" s="157"/>
      <c r="R447" s="157"/>
      <c r="S447" s="157"/>
      <c r="T447" s="157"/>
      <c r="U447" s="157"/>
      <c r="V447" s="157"/>
      <c r="W447" s="157"/>
      <c r="X447" s="157"/>
      <c r="Y447" s="157"/>
      <c r="Z447" s="157"/>
      <c r="AA447" s="157"/>
      <c r="AB447" s="157"/>
      <c r="AC447" s="157"/>
      <c r="AD447" s="157"/>
      <c r="AE447" s="157"/>
      <c r="AF447" s="165"/>
      <c r="AI447" s="109" t="str">
        <f>"77S:field172:" &amp; IF(I447="■",1,IF(L447="■",2,0))</f>
        <v>77S:field172:0</v>
      </c>
    </row>
    <row r="448" spans="1:35" ht="18.75" customHeight="1" x14ac:dyDescent="0.2">
      <c r="A448" s="139"/>
      <c r="B448" s="123"/>
      <c r="C448" s="237"/>
      <c r="D448" s="142"/>
      <c r="E448" s="128"/>
      <c r="F448" s="142"/>
      <c r="G448" s="270"/>
      <c r="H448" s="245" t="s">
        <v>522</v>
      </c>
      <c r="I448" s="156" t="s">
        <v>383</v>
      </c>
      <c r="J448" s="157" t="s">
        <v>250</v>
      </c>
      <c r="K448" s="158"/>
      <c r="L448" s="160" t="s">
        <v>383</v>
      </c>
      <c r="M448" s="157" t="s">
        <v>268</v>
      </c>
      <c r="N448" s="157"/>
      <c r="O448" s="206" t="s">
        <v>383</v>
      </c>
      <c r="P448" s="168" t="s">
        <v>269</v>
      </c>
      <c r="Q448" s="157"/>
      <c r="R448" s="157"/>
      <c r="S448" s="158"/>
      <c r="T448" s="157"/>
      <c r="U448" s="158"/>
      <c r="V448" s="158"/>
      <c r="W448" s="158"/>
      <c r="X448" s="158"/>
      <c r="Y448" s="157"/>
      <c r="Z448" s="157"/>
      <c r="AA448" s="157"/>
      <c r="AB448" s="157"/>
      <c r="AC448" s="157"/>
      <c r="AD448" s="157"/>
      <c r="AE448" s="157"/>
      <c r="AF448" s="165"/>
      <c r="AI448" s="109" t="str">
        <f>"77S:field168:" &amp; IF(I448="■",1,IF(L448="■",3,IF(O448="■",2,0)))</f>
        <v>77S:field168:0</v>
      </c>
    </row>
    <row r="449" spans="1:37" ht="18.75" customHeight="1" x14ac:dyDescent="0.2">
      <c r="A449" s="139"/>
      <c r="B449" s="123"/>
      <c r="C449" s="237"/>
      <c r="D449" s="142"/>
      <c r="E449" s="128"/>
      <c r="F449" s="142"/>
      <c r="G449" s="270"/>
      <c r="H449" s="320" t="s">
        <v>613</v>
      </c>
      <c r="I449" s="156" t="s">
        <v>383</v>
      </c>
      <c r="J449" s="157" t="s">
        <v>250</v>
      </c>
      <c r="K449" s="158"/>
      <c r="L449" s="160" t="s">
        <v>383</v>
      </c>
      <c r="M449" s="157" t="s">
        <v>267</v>
      </c>
      <c r="N449" s="207"/>
      <c r="O449" s="157"/>
      <c r="P449" s="157"/>
      <c r="Q449" s="157"/>
      <c r="R449" s="157"/>
      <c r="S449" s="157"/>
      <c r="T449" s="157"/>
      <c r="U449" s="157"/>
      <c r="V449" s="157"/>
      <c r="W449" s="157"/>
      <c r="X449" s="157"/>
      <c r="Y449" s="157"/>
      <c r="Z449" s="157"/>
      <c r="AA449" s="157"/>
      <c r="AB449" s="157"/>
      <c r="AC449" s="157"/>
      <c r="AD449" s="157"/>
      <c r="AE449" s="157"/>
      <c r="AF449" s="165"/>
      <c r="AI449" s="109" t="str">
        <f>"77S:field177:" &amp; IF(I449="■",1,IF(L449="■",2,0))</f>
        <v>77S:field177:0</v>
      </c>
    </row>
    <row r="450" spans="1:37" ht="18.75" customHeight="1" x14ac:dyDescent="0.2">
      <c r="A450" s="139"/>
      <c r="B450" s="123"/>
      <c r="C450" s="237"/>
      <c r="D450" s="142"/>
      <c r="E450" s="128"/>
      <c r="F450" s="142"/>
      <c r="G450" s="270"/>
      <c r="H450" s="320" t="s">
        <v>198</v>
      </c>
      <c r="I450" s="156" t="s">
        <v>383</v>
      </c>
      <c r="J450" s="157" t="s">
        <v>250</v>
      </c>
      <c r="K450" s="158"/>
      <c r="L450" s="160" t="s">
        <v>383</v>
      </c>
      <c r="M450" s="157" t="s">
        <v>267</v>
      </c>
      <c r="N450" s="207"/>
      <c r="O450" s="157"/>
      <c r="P450" s="157"/>
      <c r="Q450" s="157"/>
      <c r="R450" s="157"/>
      <c r="S450" s="157"/>
      <c r="T450" s="157"/>
      <c r="U450" s="157"/>
      <c r="V450" s="157"/>
      <c r="W450" s="157"/>
      <c r="X450" s="157"/>
      <c r="Y450" s="157"/>
      <c r="Z450" s="157"/>
      <c r="AA450" s="157"/>
      <c r="AB450" s="157"/>
      <c r="AC450" s="157"/>
      <c r="AD450" s="157"/>
      <c r="AE450" s="157"/>
      <c r="AF450" s="165"/>
      <c r="AI450" s="109" t="str">
        <f>"77S:field210:" &amp; IF(I450="■",1,IF(L450="■",2,0))</f>
        <v>77S:field210:0</v>
      </c>
    </row>
    <row r="451" spans="1:37" ht="18.75" customHeight="1" x14ac:dyDescent="0.2">
      <c r="A451" s="183"/>
      <c r="B451" s="184"/>
      <c r="C451" s="264"/>
      <c r="D451" s="188"/>
      <c r="E451" s="187"/>
      <c r="F451" s="188"/>
      <c r="G451" s="267"/>
      <c r="H451" s="323" t="s">
        <v>197</v>
      </c>
      <c r="I451" s="190" t="s">
        <v>383</v>
      </c>
      <c r="J451" s="222" t="s">
        <v>250</v>
      </c>
      <c r="K451" s="230"/>
      <c r="L451" s="191" t="s">
        <v>383</v>
      </c>
      <c r="M451" s="222" t="s">
        <v>267</v>
      </c>
      <c r="N451" s="311"/>
      <c r="O451" s="222"/>
      <c r="P451" s="222"/>
      <c r="Q451" s="222"/>
      <c r="R451" s="222"/>
      <c r="S451" s="222"/>
      <c r="T451" s="222"/>
      <c r="U451" s="222"/>
      <c r="V451" s="222"/>
      <c r="W451" s="222"/>
      <c r="X451" s="222"/>
      <c r="Y451" s="222"/>
      <c r="Z451" s="222"/>
      <c r="AA451" s="222"/>
      <c r="AB451" s="222"/>
      <c r="AC451" s="222"/>
      <c r="AD451" s="222"/>
      <c r="AE451" s="222"/>
      <c r="AF451" s="285"/>
      <c r="AG451" s="109"/>
      <c r="AH451" s="109"/>
      <c r="AI451" s="109" t="str">
        <f>"77S:field210:" &amp; IF(I451="■",1,IF(L451="■",2,0))</f>
        <v>77S:field210:0</v>
      </c>
    </row>
    <row r="452" spans="1:37" ht="18.75" customHeight="1" x14ac:dyDescent="0.2">
      <c r="A452" s="129"/>
      <c r="B452" s="116"/>
      <c r="C452" s="117"/>
      <c r="D452" s="244"/>
      <c r="E452" s="244"/>
      <c r="F452" s="132"/>
      <c r="G452" s="136"/>
      <c r="H452" s="324" t="s">
        <v>93</v>
      </c>
      <c r="I452" s="196" t="s">
        <v>383</v>
      </c>
      <c r="J452" s="197" t="s">
        <v>250</v>
      </c>
      <c r="K452" s="197"/>
      <c r="L452" s="199"/>
      <c r="M452" s="200" t="s">
        <v>383</v>
      </c>
      <c r="N452" s="197" t="s">
        <v>281</v>
      </c>
      <c r="O452" s="197"/>
      <c r="P452" s="199"/>
      <c r="Q452" s="200" t="s">
        <v>383</v>
      </c>
      <c r="R452" s="235" t="s">
        <v>282</v>
      </c>
      <c r="S452" s="235"/>
      <c r="T452" s="235"/>
      <c r="U452" s="235"/>
      <c r="V452" s="197"/>
      <c r="W452" s="197"/>
      <c r="X452" s="197"/>
      <c r="Y452" s="197"/>
      <c r="Z452" s="197"/>
      <c r="AA452" s="197"/>
      <c r="AB452" s="197"/>
      <c r="AC452" s="197"/>
      <c r="AD452" s="197"/>
      <c r="AE452" s="197"/>
      <c r="AF452" s="283"/>
      <c r="AG452" s="109" t="str">
        <f>"ser_code = '" &amp; IF(A454="■","79S","") &amp; "'"</f>
        <v>ser_code = ''</v>
      </c>
      <c r="AH452" s="109"/>
      <c r="AI452" s="109" t="str">
        <f>"79S:"&amp;IF(AND(I452="□",M452="□",Q452="□"),"ketu_kangos_code:0",IF(I452="■","ketu_kangos_code:1:ketu_kshoku_code:1",IF(M452="■","ketu_kangos_code:2","ketu_kangos_code:1")&amp;IF(Q452="■",":ketu_kshoku_code:2",":ketu_kshoku_code:1")))</f>
        <v>79S:ketu_kangos_code:0</v>
      </c>
    </row>
    <row r="453" spans="1:37" ht="18.75" customHeight="1" x14ac:dyDescent="0.2">
      <c r="A453" s="139"/>
      <c r="B453" s="123"/>
      <c r="C453" s="237"/>
      <c r="D453" s="142"/>
      <c r="E453" s="128"/>
      <c r="F453" s="142"/>
      <c r="G453" s="270"/>
      <c r="H453" s="458" t="s">
        <v>185</v>
      </c>
      <c r="I453" s="349" t="s">
        <v>383</v>
      </c>
      <c r="J453" s="350" t="s">
        <v>395</v>
      </c>
      <c r="K453" s="351"/>
      <c r="L453" s="352"/>
      <c r="M453" s="353" t="s">
        <v>383</v>
      </c>
      <c r="N453" s="350" t="s">
        <v>396</v>
      </c>
      <c r="O453" s="355"/>
      <c r="P453" s="355"/>
      <c r="Q453" s="351"/>
      <c r="R453" s="351"/>
      <c r="S453" s="351"/>
      <c r="T453" s="351"/>
      <c r="U453" s="351"/>
      <c r="V453" s="351"/>
      <c r="W453" s="351"/>
      <c r="X453" s="351"/>
      <c r="Y453" s="567"/>
      <c r="Z453" s="567"/>
      <c r="AA453" s="567"/>
      <c r="AB453" s="567"/>
      <c r="AC453" s="567"/>
      <c r="AD453" s="567"/>
      <c r="AE453" s="567"/>
      <c r="AF453" s="566"/>
      <c r="AG453" s="109" t="str">
        <f>"79S:sisetukbn_code:" &amp; IF(D454="■",1,IF(D455="■",2,0))</f>
        <v>79S:sisetukbn_code:0</v>
      </c>
      <c r="AI453" s="109" t="str">
        <f>"79S:sintaikousoku_code:" &amp; IF(I453="■",1,IF(M453="■",2,0))</f>
        <v>79S:sintaikousoku_code:0</v>
      </c>
    </row>
    <row r="454" spans="1:37" ht="18.75" customHeight="1" x14ac:dyDescent="0.2">
      <c r="A454" s="125" t="s">
        <v>383</v>
      </c>
      <c r="B454" s="123">
        <v>79</v>
      </c>
      <c r="C454" s="237" t="s">
        <v>593</v>
      </c>
      <c r="D454" s="118" t="s">
        <v>383</v>
      </c>
      <c r="E454" s="128" t="s">
        <v>594</v>
      </c>
      <c r="F454" s="142"/>
      <c r="G454" s="270"/>
      <c r="H454" s="348" t="s">
        <v>430</v>
      </c>
      <c r="I454" s="349" t="s">
        <v>383</v>
      </c>
      <c r="J454" s="350" t="s">
        <v>395</v>
      </c>
      <c r="K454" s="351"/>
      <c r="L454" s="352"/>
      <c r="M454" s="353" t="s">
        <v>383</v>
      </c>
      <c r="N454" s="350" t="s">
        <v>431</v>
      </c>
      <c r="O454" s="355"/>
      <c r="P454" s="350"/>
      <c r="Q454" s="355"/>
      <c r="R454" s="355"/>
      <c r="S454" s="355"/>
      <c r="T454" s="355"/>
      <c r="U454" s="355"/>
      <c r="V454" s="355"/>
      <c r="W454" s="355"/>
      <c r="X454" s="355"/>
      <c r="Y454" s="355"/>
      <c r="Z454" s="355"/>
      <c r="AA454" s="355"/>
      <c r="AB454" s="355"/>
      <c r="AC454" s="355"/>
      <c r="AD454" s="355"/>
      <c r="AE454" s="355"/>
      <c r="AF454" s="566"/>
      <c r="AG454" s="109"/>
      <c r="AI454" s="109" t="str">
        <f>"79S:field223:" &amp; IF(I454="■",1,IF(M454="■",2,0))</f>
        <v>79S:field223:0</v>
      </c>
      <c r="AJ454" s="329"/>
      <c r="AK454" s="329"/>
    </row>
    <row r="455" spans="1:37" ht="18.75" customHeight="1" x14ac:dyDescent="0.2">
      <c r="A455" s="139"/>
      <c r="B455" s="123"/>
      <c r="C455" s="237" t="s">
        <v>614</v>
      </c>
      <c r="D455" s="125" t="s">
        <v>383</v>
      </c>
      <c r="E455" s="128" t="s">
        <v>596</v>
      </c>
      <c r="F455" s="142"/>
      <c r="G455" s="270"/>
      <c r="H455" s="348" t="s">
        <v>448</v>
      </c>
      <c r="I455" s="349" t="s">
        <v>383</v>
      </c>
      <c r="J455" s="350" t="s">
        <v>395</v>
      </c>
      <c r="K455" s="351"/>
      <c r="L455" s="352"/>
      <c r="M455" s="353" t="s">
        <v>383</v>
      </c>
      <c r="N455" s="350" t="s">
        <v>431</v>
      </c>
      <c r="O455" s="355"/>
      <c r="P455" s="350"/>
      <c r="Q455" s="355"/>
      <c r="R455" s="355"/>
      <c r="S455" s="355"/>
      <c r="T455" s="355"/>
      <c r="U455" s="355"/>
      <c r="V455" s="355"/>
      <c r="W455" s="355"/>
      <c r="X455" s="355"/>
      <c r="Y455" s="355"/>
      <c r="Z455" s="355"/>
      <c r="AA455" s="355"/>
      <c r="AB455" s="355"/>
      <c r="AC455" s="355"/>
      <c r="AD455" s="355"/>
      <c r="AE455" s="355"/>
      <c r="AF455" s="566"/>
      <c r="AI455" s="109" t="str">
        <f>"79S:field232:" &amp; IF(I455="■",1,IF(M455="■",2,0))</f>
        <v>79S:field232:0</v>
      </c>
    </row>
    <row r="456" spans="1:37" ht="18.75" customHeight="1" x14ac:dyDescent="0.2">
      <c r="A456" s="139"/>
      <c r="B456" s="123"/>
      <c r="C456" s="237" t="s">
        <v>615</v>
      </c>
      <c r="D456" s="141"/>
      <c r="E456" s="128" t="s">
        <v>616</v>
      </c>
      <c r="F456" s="142"/>
      <c r="G456" s="270"/>
      <c r="H456" s="790" t="s">
        <v>209</v>
      </c>
      <c r="I456" s="797" t="s">
        <v>383</v>
      </c>
      <c r="J456" s="796" t="s">
        <v>256</v>
      </c>
      <c r="K456" s="796"/>
      <c r="L456" s="796"/>
      <c r="M456" s="797" t="s">
        <v>383</v>
      </c>
      <c r="N456" s="796" t="s">
        <v>257</v>
      </c>
      <c r="O456" s="796"/>
      <c r="P456" s="796"/>
      <c r="Q456" s="410"/>
      <c r="R456" s="410"/>
      <c r="S456" s="410"/>
      <c r="T456" s="410"/>
      <c r="U456" s="410"/>
      <c r="V456" s="410"/>
      <c r="W456" s="410"/>
      <c r="X456" s="410"/>
      <c r="Y456" s="410"/>
      <c r="Z456" s="410"/>
      <c r="AA456" s="410"/>
      <c r="AB456" s="410"/>
      <c r="AC456" s="410"/>
      <c r="AD456" s="410"/>
      <c r="AE456" s="410"/>
      <c r="AF456" s="411"/>
      <c r="AI456" s="109" t="str">
        <f>"79S:chuusankanti_tiiki_code:" &amp; IF(I456="■",1,IF(M456="■",2,0))</f>
        <v>79S:chuusankanti_tiiki_code:0</v>
      </c>
    </row>
    <row r="457" spans="1:37" ht="18.75" customHeight="1" x14ac:dyDescent="0.2">
      <c r="A457" s="141"/>
      <c r="B457" s="228"/>
      <c r="C457" s="229"/>
      <c r="F457" s="142"/>
      <c r="G457" s="270"/>
      <c r="H457" s="857"/>
      <c r="I457" s="792"/>
      <c r="J457" s="858"/>
      <c r="K457" s="858"/>
      <c r="L457" s="858"/>
      <c r="M457" s="859"/>
      <c r="N457" s="858"/>
      <c r="O457" s="858"/>
      <c r="P457" s="858"/>
      <c r="Q457" s="579"/>
      <c r="R457" s="579"/>
      <c r="S457" s="579"/>
      <c r="T457" s="579"/>
      <c r="U457" s="579"/>
      <c r="V457" s="579"/>
      <c r="W457" s="579"/>
      <c r="X457" s="579"/>
      <c r="Y457" s="579"/>
      <c r="Z457" s="579"/>
      <c r="AA457" s="579"/>
      <c r="AB457" s="579"/>
      <c r="AC457" s="579"/>
      <c r="AD457" s="579"/>
      <c r="AE457" s="579"/>
      <c r="AF457" s="580"/>
    </row>
    <row r="458" spans="1:37" ht="18.75" customHeight="1" x14ac:dyDescent="0.2">
      <c r="A458" s="129"/>
      <c r="B458" s="116"/>
      <c r="C458" s="233"/>
      <c r="D458" s="132"/>
      <c r="E458" s="121"/>
      <c r="F458" s="132"/>
      <c r="G458" s="136"/>
      <c r="H458" s="577" t="s">
        <v>181</v>
      </c>
      <c r="I458" s="367" t="s">
        <v>383</v>
      </c>
      <c r="J458" s="368" t="s">
        <v>250</v>
      </c>
      <c r="K458" s="368"/>
      <c r="L458" s="370"/>
      <c r="M458" s="371" t="s">
        <v>383</v>
      </c>
      <c r="N458" s="368" t="s">
        <v>281</v>
      </c>
      <c r="O458" s="368"/>
      <c r="P458" s="370"/>
      <c r="Q458" s="371" t="s">
        <v>383</v>
      </c>
      <c r="R458" s="457" t="s">
        <v>282</v>
      </c>
      <c r="S458" s="457"/>
      <c r="T458" s="457"/>
      <c r="U458" s="457"/>
      <c r="V458" s="368"/>
      <c r="W458" s="368"/>
      <c r="X458" s="368"/>
      <c r="Y458" s="368"/>
      <c r="Z458" s="368"/>
      <c r="AA458" s="368"/>
      <c r="AB458" s="368"/>
      <c r="AC458" s="368"/>
      <c r="AD458" s="368"/>
      <c r="AE458" s="368"/>
      <c r="AF458" s="578"/>
      <c r="AG458" s="109" t="str">
        <f>"ser_code = '" &amp; IF(A462="■","74S","") &amp; "'"</f>
        <v>ser_code = ''</v>
      </c>
      <c r="AH458" s="109"/>
      <c r="AI458" s="109" t="str">
        <f>"74S:"&amp;IF(AND(I458="□",M458="□",Q458="□"),"ketu_kangos_code:0",IF(I458="■","ketu_kangos_code:1:ketu_kshoku_code:1",IF(M458="■","ketu_kangos_code:2","ketu_kangos_code:1")&amp;IF(Q458="■",":ketu_kshoku_code:2",":ketu_kshoku_code:1")))</f>
        <v>74S:ketu_kangos_code:0</v>
      </c>
    </row>
    <row r="459" spans="1:37" ht="19.5" customHeight="1" x14ac:dyDescent="0.2">
      <c r="A459" s="139"/>
      <c r="B459" s="123"/>
      <c r="C459" s="140"/>
      <c r="D459" s="141"/>
      <c r="E459" s="128"/>
      <c r="F459" s="142"/>
      <c r="G459" s="143"/>
      <c r="H459" s="348" t="s">
        <v>430</v>
      </c>
      <c r="I459" s="349" t="s">
        <v>383</v>
      </c>
      <c r="J459" s="350" t="s">
        <v>395</v>
      </c>
      <c r="K459" s="351"/>
      <c r="L459" s="352"/>
      <c r="M459" s="353" t="s">
        <v>383</v>
      </c>
      <c r="N459" s="350" t="s">
        <v>431</v>
      </c>
      <c r="O459" s="355"/>
      <c r="P459" s="350"/>
      <c r="Q459" s="355"/>
      <c r="R459" s="355"/>
      <c r="S459" s="355"/>
      <c r="T459" s="355"/>
      <c r="U459" s="355"/>
      <c r="V459" s="355"/>
      <c r="W459" s="355"/>
      <c r="X459" s="355"/>
      <c r="Y459" s="355"/>
      <c r="Z459" s="355"/>
      <c r="AA459" s="355"/>
      <c r="AB459" s="355"/>
      <c r="AC459" s="355"/>
      <c r="AD459" s="355"/>
      <c r="AE459" s="355"/>
      <c r="AF459" s="566"/>
      <c r="AG459" s="109" t="str">
        <f>"74S:sisetukbn_code:" &amp; IF(D462="■",1,IF(D463="■",2,IF(D464="■",3,0)))</f>
        <v>74S:sisetukbn_code:0</v>
      </c>
      <c r="AI459" s="109" t="str">
        <f>"74S:field223:" &amp; IF(I459="■",1,IF(M459="■",2,0))</f>
        <v>74S:field223:0</v>
      </c>
    </row>
    <row r="460" spans="1:37" ht="19.5" customHeight="1" x14ac:dyDescent="0.2">
      <c r="A460" s="139"/>
      <c r="B460" s="123"/>
      <c r="C460" s="140"/>
      <c r="D460" s="141"/>
      <c r="E460" s="128"/>
      <c r="F460" s="142"/>
      <c r="G460" s="143"/>
      <c r="H460" s="348" t="s">
        <v>448</v>
      </c>
      <c r="I460" s="349" t="s">
        <v>383</v>
      </c>
      <c r="J460" s="350" t="s">
        <v>395</v>
      </c>
      <c r="K460" s="351"/>
      <c r="L460" s="352"/>
      <c r="M460" s="353" t="s">
        <v>383</v>
      </c>
      <c r="N460" s="350" t="s">
        <v>431</v>
      </c>
      <c r="O460" s="355"/>
      <c r="P460" s="350"/>
      <c r="Q460" s="355"/>
      <c r="R460" s="355"/>
      <c r="S460" s="355"/>
      <c r="T460" s="355"/>
      <c r="U460" s="355"/>
      <c r="V460" s="355"/>
      <c r="W460" s="355"/>
      <c r="X460" s="355"/>
      <c r="Y460" s="355"/>
      <c r="Z460" s="355"/>
      <c r="AA460" s="355"/>
      <c r="AB460" s="355"/>
      <c r="AC460" s="355"/>
      <c r="AD460" s="355"/>
      <c r="AE460" s="355"/>
      <c r="AF460" s="566"/>
      <c r="AI460" s="109" t="str">
        <f>"74S:field232:" &amp; IF(I460="■",1,IF(M460="■",2,0))</f>
        <v>74S:field232:0</v>
      </c>
    </row>
    <row r="461" spans="1:37" ht="18.75" customHeight="1" x14ac:dyDescent="0.2">
      <c r="A461" s="139"/>
      <c r="B461" s="123"/>
      <c r="C461" s="237"/>
      <c r="D461" s="142"/>
      <c r="E461" s="128"/>
      <c r="F461" s="142"/>
      <c r="G461" s="270"/>
      <c r="H461" s="569" t="s">
        <v>531</v>
      </c>
      <c r="I461" s="349" t="s">
        <v>383</v>
      </c>
      <c r="J461" s="350" t="s">
        <v>265</v>
      </c>
      <c r="K461" s="351"/>
      <c r="L461" s="531"/>
      <c r="M461" s="353" t="s">
        <v>383</v>
      </c>
      <c r="N461" s="350" t="s">
        <v>266</v>
      </c>
      <c r="O461" s="355"/>
      <c r="P461" s="355"/>
      <c r="Q461" s="355"/>
      <c r="R461" s="350"/>
      <c r="S461" s="350"/>
      <c r="T461" s="350"/>
      <c r="U461" s="350"/>
      <c r="V461" s="350"/>
      <c r="W461" s="350"/>
      <c r="X461" s="350"/>
      <c r="Y461" s="350"/>
      <c r="Z461" s="350"/>
      <c r="AA461" s="350"/>
      <c r="AB461" s="350"/>
      <c r="AC461" s="350"/>
      <c r="AD461" s="350"/>
      <c r="AE461" s="350"/>
      <c r="AF461" s="459"/>
      <c r="AI461" s="109" t="str">
        <f>"74S:timeser_code:" &amp; IF(I461="■",1,IF(M461="■",2,0))</f>
        <v>74S:timeser_code:0</v>
      </c>
    </row>
    <row r="462" spans="1:37" ht="18.75" customHeight="1" x14ac:dyDescent="0.2">
      <c r="A462" s="139"/>
      <c r="B462" s="123"/>
      <c r="C462" s="237"/>
      <c r="D462" s="125" t="s">
        <v>383</v>
      </c>
      <c r="E462" s="128" t="s">
        <v>309</v>
      </c>
      <c r="F462" s="142"/>
      <c r="G462" s="270"/>
      <c r="H462" s="439" t="s">
        <v>230</v>
      </c>
      <c r="I462" s="349" t="s">
        <v>383</v>
      </c>
      <c r="J462" s="350" t="s">
        <v>250</v>
      </c>
      <c r="K462" s="350"/>
      <c r="L462" s="353" t="s">
        <v>383</v>
      </c>
      <c r="M462" s="350" t="s">
        <v>251</v>
      </c>
      <c r="N462" s="350"/>
      <c r="O462" s="353" t="s">
        <v>383</v>
      </c>
      <c r="P462" s="350" t="s">
        <v>252</v>
      </c>
      <c r="Q462" s="531"/>
      <c r="R462" s="531"/>
      <c r="S462" s="581"/>
      <c r="T462" s="581"/>
      <c r="U462" s="581"/>
      <c r="V462" s="581"/>
      <c r="W462" s="581"/>
      <c r="X462" s="581"/>
      <c r="Y462" s="581"/>
      <c r="Z462" s="581"/>
      <c r="AA462" s="581"/>
      <c r="AB462" s="581"/>
      <c r="AC462" s="581"/>
      <c r="AD462" s="581"/>
      <c r="AE462" s="581"/>
      <c r="AF462" s="582"/>
      <c r="AI462" s="109" t="str">
        <f>"74S:nyukai_code:" &amp; IF(I462="■",1,IF(O462="■",3,IF(L462="■",2,0)))</f>
        <v>74S:nyukai_code:0</v>
      </c>
    </row>
    <row r="463" spans="1:37" ht="18.75" customHeight="1" x14ac:dyDescent="0.2">
      <c r="A463" s="125" t="s">
        <v>383</v>
      </c>
      <c r="B463" s="123">
        <v>74</v>
      </c>
      <c r="C463" s="237" t="s">
        <v>599</v>
      </c>
      <c r="D463" s="125" t="s">
        <v>383</v>
      </c>
      <c r="E463" s="128" t="s">
        <v>543</v>
      </c>
      <c r="F463" s="142"/>
      <c r="G463" s="270"/>
      <c r="H463" s="439" t="s">
        <v>183</v>
      </c>
      <c r="I463" s="349" t="s">
        <v>383</v>
      </c>
      <c r="J463" s="350" t="s">
        <v>250</v>
      </c>
      <c r="K463" s="350"/>
      <c r="L463" s="353" t="s">
        <v>383</v>
      </c>
      <c r="M463" s="350" t="s">
        <v>268</v>
      </c>
      <c r="N463" s="350"/>
      <c r="O463" s="353" t="s">
        <v>383</v>
      </c>
      <c r="P463" s="350" t="s">
        <v>269</v>
      </c>
      <c r="Q463" s="531"/>
      <c r="R463" s="531"/>
      <c r="S463" s="531"/>
      <c r="T463" s="350"/>
      <c r="U463" s="350"/>
      <c r="V463" s="350"/>
      <c r="W463" s="350"/>
      <c r="X463" s="350"/>
      <c r="Y463" s="350"/>
      <c r="Z463" s="350"/>
      <c r="AA463" s="350"/>
      <c r="AB463" s="350"/>
      <c r="AC463" s="350"/>
      <c r="AD463" s="350"/>
      <c r="AE463" s="350"/>
      <c r="AF463" s="459"/>
      <c r="AI463" s="109" t="str">
        <f>"74S:field185:" &amp; IF(I463="■",1,IF(L463="■",3,IF(O463="■",2,0)))</f>
        <v>74S:field185:0</v>
      </c>
    </row>
    <row r="464" spans="1:37" ht="18.75" customHeight="1" x14ac:dyDescent="0.2">
      <c r="A464" s="139"/>
      <c r="B464" s="123"/>
      <c r="C464" s="237" t="s">
        <v>5</v>
      </c>
      <c r="D464" s="125" t="s">
        <v>383</v>
      </c>
      <c r="E464" s="128" t="s">
        <v>544</v>
      </c>
      <c r="F464" s="142"/>
      <c r="G464" s="270"/>
      <c r="H464" s="439" t="s">
        <v>234</v>
      </c>
      <c r="I464" s="349" t="s">
        <v>383</v>
      </c>
      <c r="J464" s="350" t="s">
        <v>250</v>
      </c>
      <c r="K464" s="351"/>
      <c r="L464" s="353" t="s">
        <v>383</v>
      </c>
      <c r="M464" s="350" t="s">
        <v>267</v>
      </c>
      <c r="N464" s="531"/>
      <c r="O464" s="350"/>
      <c r="P464" s="350"/>
      <c r="Q464" s="350"/>
      <c r="R464" s="350"/>
      <c r="S464" s="350"/>
      <c r="T464" s="350"/>
      <c r="U464" s="350"/>
      <c r="V464" s="350"/>
      <c r="W464" s="350"/>
      <c r="X464" s="350"/>
      <c r="Y464" s="350"/>
      <c r="Z464" s="350"/>
      <c r="AA464" s="350"/>
      <c r="AB464" s="350"/>
      <c r="AC464" s="350"/>
      <c r="AD464" s="350"/>
      <c r="AE464" s="350"/>
      <c r="AF464" s="459"/>
      <c r="AI464" s="109" t="str">
        <f>"74S:kobetu_kunren_code:" &amp; IF(I464="■",1,IF(L464="■",2,0))</f>
        <v>74S:kobetu_kunren_code:0</v>
      </c>
    </row>
    <row r="465" spans="1:35" ht="18.75" customHeight="1" x14ac:dyDescent="0.2">
      <c r="A465" s="139"/>
      <c r="B465" s="123"/>
      <c r="C465" s="237"/>
      <c r="D465" s="142"/>
      <c r="E465" s="128"/>
      <c r="F465" s="142"/>
      <c r="G465" s="270"/>
      <c r="H465" s="569" t="s">
        <v>550</v>
      </c>
      <c r="I465" s="349" t="s">
        <v>383</v>
      </c>
      <c r="J465" s="350" t="s">
        <v>250</v>
      </c>
      <c r="K465" s="351"/>
      <c r="L465" s="353" t="s">
        <v>383</v>
      </c>
      <c r="M465" s="350" t="s">
        <v>267</v>
      </c>
      <c r="N465" s="531"/>
      <c r="O465" s="350"/>
      <c r="P465" s="350"/>
      <c r="Q465" s="350"/>
      <c r="R465" s="350"/>
      <c r="S465" s="350"/>
      <c r="T465" s="350"/>
      <c r="U465" s="350"/>
      <c r="V465" s="350"/>
      <c r="W465" s="350"/>
      <c r="X465" s="350"/>
      <c r="Y465" s="350"/>
      <c r="Z465" s="350"/>
      <c r="AA465" s="350"/>
      <c r="AB465" s="350"/>
      <c r="AC465" s="350"/>
      <c r="AD465" s="350"/>
      <c r="AE465" s="350"/>
      <c r="AF465" s="459"/>
      <c r="AI465" s="109" t="str">
        <f>"74S:jyakuninti_uke_code:" &amp; IF(I465="■",1,IF(L465="■",2,0))</f>
        <v>74S:jyakuninti_uke_code:0</v>
      </c>
    </row>
    <row r="466" spans="1:35" ht="18.75" customHeight="1" x14ac:dyDescent="0.2">
      <c r="A466" s="139"/>
      <c r="B466" s="123"/>
      <c r="C466" s="237"/>
      <c r="D466" s="142"/>
      <c r="E466" s="128"/>
      <c r="F466" s="142"/>
      <c r="G466" s="270"/>
      <c r="H466" s="409" t="s">
        <v>236</v>
      </c>
      <c r="I466" s="349" t="s">
        <v>383</v>
      </c>
      <c r="J466" s="350" t="s">
        <v>250</v>
      </c>
      <c r="K466" s="351"/>
      <c r="L466" s="353" t="s">
        <v>383</v>
      </c>
      <c r="M466" s="350" t="s">
        <v>267</v>
      </c>
      <c r="N466" s="531"/>
      <c r="O466" s="350"/>
      <c r="P466" s="350"/>
      <c r="Q466" s="350"/>
      <c r="R466" s="350"/>
      <c r="S466" s="350"/>
      <c r="T466" s="350"/>
      <c r="U466" s="350"/>
      <c r="V466" s="350"/>
      <c r="W466" s="350"/>
      <c r="X466" s="350"/>
      <c r="Y466" s="350"/>
      <c r="Z466" s="350"/>
      <c r="AA466" s="350"/>
      <c r="AB466" s="350"/>
      <c r="AC466" s="350"/>
      <c r="AD466" s="350"/>
      <c r="AE466" s="350"/>
      <c r="AF466" s="459"/>
      <c r="AI466" s="109" t="str">
        <f>"74S:eiyomana_code:" &amp; IF(I466="■",1,IF(L466="■",2,0))</f>
        <v>74S:eiyomana_code:0</v>
      </c>
    </row>
    <row r="467" spans="1:35" ht="18.75" customHeight="1" x14ac:dyDescent="0.2">
      <c r="A467" s="139"/>
      <c r="B467" s="123"/>
      <c r="C467" s="237"/>
      <c r="D467" s="142"/>
      <c r="E467" s="128"/>
      <c r="F467" s="142"/>
      <c r="G467" s="270"/>
      <c r="H467" s="439" t="s">
        <v>205</v>
      </c>
      <c r="I467" s="349" t="s">
        <v>383</v>
      </c>
      <c r="J467" s="350" t="s">
        <v>250</v>
      </c>
      <c r="K467" s="351"/>
      <c r="L467" s="353" t="s">
        <v>383</v>
      </c>
      <c r="M467" s="350" t="s">
        <v>267</v>
      </c>
      <c r="N467" s="531"/>
      <c r="O467" s="350"/>
      <c r="P467" s="350"/>
      <c r="Q467" s="350"/>
      <c r="R467" s="350"/>
      <c r="S467" s="350"/>
      <c r="T467" s="350"/>
      <c r="U467" s="350"/>
      <c r="V467" s="350"/>
      <c r="W467" s="350"/>
      <c r="X467" s="350"/>
      <c r="Y467" s="350"/>
      <c r="Z467" s="350"/>
      <c r="AA467" s="350"/>
      <c r="AB467" s="350"/>
      <c r="AC467" s="350"/>
      <c r="AD467" s="350"/>
      <c r="AE467" s="350"/>
      <c r="AF467" s="459"/>
      <c r="AI467" s="109" t="str">
        <f>"74S:koukoukino_code:" &amp; IF(I467="■",1,IF(L467="■",2,0))</f>
        <v>74S:koukoukino_code:0</v>
      </c>
    </row>
    <row r="468" spans="1:35" ht="18.75" customHeight="1" x14ac:dyDescent="0.2">
      <c r="A468" s="183"/>
      <c r="B468" s="184"/>
      <c r="C468" s="264"/>
      <c r="D468" s="188"/>
      <c r="E468" s="187"/>
      <c r="F468" s="188"/>
      <c r="G468" s="267"/>
      <c r="H468" s="575" t="s">
        <v>197</v>
      </c>
      <c r="I468" s="357" t="s">
        <v>383</v>
      </c>
      <c r="J468" s="358" t="s">
        <v>250</v>
      </c>
      <c r="K468" s="509"/>
      <c r="L468" s="359" t="s">
        <v>383</v>
      </c>
      <c r="M468" s="358" t="s">
        <v>267</v>
      </c>
      <c r="N468" s="583"/>
      <c r="O468" s="358"/>
      <c r="P468" s="358"/>
      <c r="Q468" s="358"/>
      <c r="R468" s="358"/>
      <c r="S468" s="358"/>
      <c r="T468" s="358"/>
      <c r="U468" s="358"/>
      <c r="V468" s="358"/>
      <c r="W468" s="358"/>
      <c r="X468" s="358"/>
      <c r="Y468" s="358"/>
      <c r="Z468" s="358"/>
      <c r="AA468" s="358"/>
      <c r="AB468" s="358"/>
      <c r="AC468" s="358"/>
      <c r="AD468" s="358"/>
      <c r="AE468" s="358"/>
      <c r="AF468" s="576"/>
      <c r="AI468" s="109" t="str">
        <f>"74S:field212:" &amp; IF(I468="■",1,IF(L468="■",2,0))</f>
        <v>74S:field212:0</v>
      </c>
    </row>
    <row r="469" spans="1:35" ht="18.75" customHeight="1" x14ac:dyDescent="0.2">
      <c r="A469" s="129"/>
      <c r="B469" s="116"/>
      <c r="C469" s="233"/>
      <c r="D469" s="132"/>
      <c r="E469" s="121"/>
      <c r="F469" s="132"/>
      <c r="G469" s="136"/>
      <c r="H469" s="577" t="s">
        <v>181</v>
      </c>
      <c r="I469" s="367" t="s">
        <v>383</v>
      </c>
      <c r="J469" s="368" t="s">
        <v>250</v>
      </c>
      <c r="K469" s="368"/>
      <c r="L469" s="370"/>
      <c r="M469" s="371" t="s">
        <v>383</v>
      </c>
      <c r="N469" s="368" t="s">
        <v>281</v>
      </c>
      <c r="O469" s="368"/>
      <c r="P469" s="370"/>
      <c r="Q469" s="371" t="s">
        <v>383</v>
      </c>
      <c r="R469" s="457" t="s">
        <v>282</v>
      </c>
      <c r="S469" s="457"/>
      <c r="T469" s="457"/>
      <c r="U469" s="457"/>
      <c r="V469" s="368"/>
      <c r="W469" s="368"/>
      <c r="X469" s="368"/>
      <c r="Y469" s="368"/>
      <c r="Z469" s="368"/>
      <c r="AA469" s="368"/>
      <c r="AB469" s="368"/>
      <c r="AC469" s="368"/>
      <c r="AD469" s="368"/>
      <c r="AE469" s="368"/>
      <c r="AF469" s="578"/>
      <c r="AG469" s="109" t="str">
        <f>"ser_code = '" &amp; IF(A473="■","75S","") &amp; "'"</f>
        <v>ser_code = ''</v>
      </c>
      <c r="AH469" s="109"/>
      <c r="AI469" s="109" t="str">
        <f>"75S:"&amp;IF(AND(I469="□",M469="□",Q469="□"),"ketu_kangos_code:0",IF(I469="■","ketu_kangos_code:1:ketu_kshoku_code:1",IF(M469="■","ketu_kangos_code:2","ketu_kangos_code:1")&amp;IF(Q469="■",":ketu_kshoku_code:2",":ketu_kshoku_code:1")))</f>
        <v>75S:ketu_kangos_code:0</v>
      </c>
    </row>
    <row r="470" spans="1:35" ht="18.75" customHeight="1" x14ac:dyDescent="0.2">
      <c r="A470" s="139"/>
      <c r="B470" s="123"/>
      <c r="C470" s="237"/>
      <c r="D470" s="142"/>
      <c r="E470" s="128"/>
      <c r="F470" s="142"/>
      <c r="G470" s="270"/>
      <c r="H470" s="458" t="s">
        <v>185</v>
      </c>
      <c r="I470" s="349" t="s">
        <v>383</v>
      </c>
      <c r="J470" s="350" t="s">
        <v>395</v>
      </c>
      <c r="K470" s="351"/>
      <c r="L470" s="352"/>
      <c r="M470" s="353" t="s">
        <v>383</v>
      </c>
      <c r="N470" s="350" t="s">
        <v>396</v>
      </c>
      <c r="O470" s="355"/>
      <c r="P470" s="355"/>
      <c r="Q470" s="351"/>
      <c r="R470" s="351"/>
      <c r="S470" s="351"/>
      <c r="T470" s="351"/>
      <c r="U470" s="351"/>
      <c r="V470" s="351"/>
      <c r="W470" s="351"/>
      <c r="X470" s="351"/>
      <c r="Y470" s="567"/>
      <c r="Z470" s="567"/>
      <c r="AA470" s="567"/>
      <c r="AB470" s="567"/>
      <c r="AC470" s="567"/>
      <c r="AD470" s="567"/>
      <c r="AE470" s="567"/>
      <c r="AF470" s="566"/>
      <c r="AG470" s="109" t="str">
        <f>"75S:sisetukbn_code:" &amp; IF(D473="■",1,IF(D474="■",2,0))</f>
        <v>75S:sisetukbn_code:0</v>
      </c>
      <c r="AI470" s="109" t="str">
        <f>"75S:sintaikousoku_code:" &amp; IF(I470="■",1,IF(M470="■",2,0))</f>
        <v>75S:sintaikousoku_code:0</v>
      </c>
    </row>
    <row r="471" spans="1:35" ht="19.5" customHeight="1" x14ac:dyDescent="0.2">
      <c r="A471" s="139"/>
      <c r="B471" s="123"/>
      <c r="C471" s="140"/>
      <c r="D471" s="141"/>
      <c r="E471" s="128"/>
      <c r="F471" s="142"/>
      <c r="G471" s="143"/>
      <c r="H471" s="348" t="s">
        <v>430</v>
      </c>
      <c r="I471" s="349" t="s">
        <v>383</v>
      </c>
      <c r="J471" s="350" t="s">
        <v>395</v>
      </c>
      <c r="K471" s="351"/>
      <c r="L471" s="352"/>
      <c r="M471" s="353" t="s">
        <v>383</v>
      </c>
      <c r="N471" s="350" t="s">
        <v>431</v>
      </c>
      <c r="O471" s="355"/>
      <c r="P471" s="350"/>
      <c r="Q471" s="355"/>
      <c r="R471" s="355"/>
      <c r="S471" s="355"/>
      <c r="T471" s="355"/>
      <c r="U471" s="355"/>
      <c r="V471" s="355"/>
      <c r="W471" s="355"/>
      <c r="X471" s="355"/>
      <c r="Y471" s="355"/>
      <c r="Z471" s="355"/>
      <c r="AA471" s="355"/>
      <c r="AB471" s="355"/>
      <c r="AC471" s="355"/>
      <c r="AD471" s="355"/>
      <c r="AE471" s="355"/>
      <c r="AF471" s="566"/>
      <c r="AG471" s="109"/>
      <c r="AI471" s="109" t="str">
        <f>"75S:field223:" &amp; IF(I471="■",1,IF(M471="■",2,0))</f>
        <v>75S:field223:0</v>
      </c>
    </row>
    <row r="472" spans="1:35" ht="19.5" customHeight="1" x14ac:dyDescent="0.2">
      <c r="A472" s="139"/>
      <c r="B472" s="123"/>
      <c r="C472" s="140"/>
      <c r="D472" s="141"/>
      <c r="E472" s="128"/>
      <c r="F472" s="142"/>
      <c r="G472" s="143"/>
      <c r="H472" s="348" t="s">
        <v>448</v>
      </c>
      <c r="I472" s="349" t="s">
        <v>383</v>
      </c>
      <c r="J472" s="350" t="s">
        <v>395</v>
      </c>
      <c r="K472" s="351"/>
      <c r="L472" s="352"/>
      <c r="M472" s="353" t="s">
        <v>383</v>
      </c>
      <c r="N472" s="350" t="s">
        <v>431</v>
      </c>
      <c r="O472" s="355"/>
      <c r="P472" s="350"/>
      <c r="Q472" s="355"/>
      <c r="R472" s="355"/>
      <c r="S472" s="355"/>
      <c r="T472" s="355"/>
      <c r="U472" s="355"/>
      <c r="V472" s="355"/>
      <c r="W472" s="355"/>
      <c r="X472" s="355"/>
      <c r="Y472" s="355"/>
      <c r="Z472" s="355"/>
      <c r="AA472" s="355"/>
      <c r="AB472" s="355"/>
      <c r="AC472" s="355"/>
      <c r="AD472" s="355"/>
      <c r="AE472" s="355"/>
      <c r="AF472" s="566"/>
      <c r="AI472" s="109" t="str">
        <f>"75S:field232:" &amp; IF(I472="■",1,IF(M472="■",2,0))</f>
        <v>75S:field232:0</v>
      </c>
    </row>
    <row r="473" spans="1:35" ht="18.75" customHeight="1" x14ac:dyDescent="0.2">
      <c r="A473" s="125" t="s">
        <v>383</v>
      </c>
      <c r="B473" s="123">
        <v>75</v>
      </c>
      <c r="C473" s="237" t="s">
        <v>604</v>
      </c>
      <c r="D473" s="125" t="s">
        <v>383</v>
      </c>
      <c r="E473" s="128" t="s">
        <v>617</v>
      </c>
      <c r="F473" s="142"/>
      <c r="G473" s="270"/>
      <c r="H473" s="569" t="s">
        <v>137</v>
      </c>
      <c r="I473" s="349" t="s">
        <v>383</v>
      </c>
      <c r="J473" s="350" t="s">
        <v>250</v>
      </c>
      <c r="K473" s="351"/>
      <c r="L473" s="353" t="s">
        <v>383</v>
      </c>
      <c r="M473" s="350" t="s">
        <v>267</v>
      </c>
      <c r="N473" s="531"/>
      <c r="O473" s="350"/>
      <c r="P473" s="350"/>
      <c r="Q473" s="350"/>
      <c r="R473" s="350"/>
      <c r="S473" s="350"/>
      <c r="T473" s="350"/>
      <c r="U473" s="350"/>
      <c r="V473" s="350"/>
      <c r="W473" s="350"/>
      <c r="X473" s="350"/>
      <c r="Y473" s="350"/>
      <c r="Z473" s="350"/>
      <c r="AA473" s="350"/>
      <c r="AB473" s="350"/>
      <c r="AC473" s="350"/>
      <c r="AD473" s="350"/>
      <c r="AE473" s="350"/>
      <c r="AF473" s="459"/>
      <c r="AI473" s="109" t="str">
        <f>"75S:tokutiiki_code:" &amp; IF(I473="■",1,IF(L473="■",2,0))</f>
        <v>75S:tokutiiki_code:0</v>
      </c>
    </row>
    <row r="474" spans="1:35" ht="18.75" customHeight="1" x14ac:dyDescent="0.2">
      <c r="A474" s="139"/>
      <c r="B474" s="123"/>
      <c r="C474" s="237" t="s">
        <v>602</v>
      </c>
      <c r="D474" s="125" t="s">
        <v>383</v>
      </c>
      <c r="E474" s="128" t="s">
        <v>603</v>
      </c>
      <c r="F474" s="142"/>
      <c r="G474" s="270"/>
      <c r="H474" s="834" t="s">
        <v>209</v>
      </c>
      <c r="I474" s="707" t="s">
        <v>383</v>
      </c>
      <c r="J474" s="708" t="s">
        <v>256</v>
      </c>
      <c r="K474" s="708"/>
      <c r="L474" s="708"/>
      <c r="M474" s="707" t="s">
        <v>383</v>
      </c>
      <c r="N474" s="708" t="s">
        <v>257</v>
      </c>
      <c r="O474" s="708"/>
      <c r="P474" s="708"/>
      <c r="Q474" s="251"/>
      <c r="R474" s="251"/>
      <c r="S474" s="251"/>
      <c r="T474" s="251"/>
      <c r="U474" s="251"/>
      <c r="V474" s="251"/>
      <c r="W474" s="251"/>
      <c r="X474" s="251"/>
      <c r="Y474" s="251"/>
      <c r="Z474" s="251"/>
      <c r="AA474" s="251"/>
      <c r="AB474" s="251"/>
      <c r="AC474" s="251"/>
      <c r="AD474" s="251"/>
      <c r="AE474" s="251"/>
      <c r="AF474" s="252"/>
      <c r="AI474" s="109" t="str">
        <f>"75S:chuusankanti_tiiki_code:" &amp; IF(I474="■",1,IF(M474="■",2,0))</f>
        <v>75S:chuusankanti_tiiki_code:0</v>
      </c>
    </row>
    <row r="475" spans="1:35" ht="18.75" customHeight="1" x14ac:dyDescent="0.2">
      <c r="A475" s="139"/>
      <c r="B475" s="123"/>
      <c r="C475" s="237"/>
      <c r="D475" s="142"/>
      <c r="E475" s="128" t="s">
        <v>551</v>
      </c>
      <c r="F475" s="142"/>
      <c r="G475" s="270"/>
      <c r="H475" s="789"/>
      <c r="I475" s="696"/>
      <c r="J475" s="698"/>
      <c r="K475" s="698"/>
      <c r="L475" s="698"/>
      <c r="M475" s="696"/>
      <c r="N475" s="698"/>
      <c r="O475" s="698"/>
      <c r="P475" s="698"/>
      <c r="Q475" s="152"/>
      <c r="R475" s="152"/>
      <c r="S475" s="152"/>
      <c r="T475" s="152"/>
      <c r="U475" s="152"/>
      <c r="V475" s="152"/>
      <c r="W475" s="152"/>
      <c r="X475" s="152"/>
      <c r="Y475" s="152"/>
      <c r="Z475" s="152"/>
      <c r="AA475" s="152"/>
      <c r="AB475" s="152"/>
      <c r="AC475" s="152"/>
      <c r="AD475" s="152"/>
      <c r="AE475" s="152"/>
      <c r="AF475" s="153"/>
    </row>
    <row r="476" spans="1:35" ht="18.75" customHeight="1" x14ac:dyDescent="0.2">
      <c r="A476" s="139"/>
      <c r="B476" s="123"/>
      <c r="C476" s="237"/>
      <c r="D476" s="142"/>
      <c r="E476" s="128"/>
      <c r="F476" s="142"/>
      <c r="G476" s="270"/>
      <c r="H476" s="320" t="s">
        <v>550</v>
      </c>
      <c r="I476" s="156" t="s">
        <v>383</v>
      </c>
      <c r="J476" s="157" t="s">
        <v>250</v>
      </c>
      <c r="K476" s="158"/>
      <c r="L476" s="160" t="s">
        <v>383</v>
      </c>
      <c r="M476" s="157" t="s">
        <v>267</v>
      </c>
      <c r="N476" s="207"/>
      <c r="O476" s="157"/>
      <c r="P476" s="157"/>
      <c r="Q476" s="157"/>
      <c r="R476" s="157"/>
      <c r="S476" s="157"/>
      <c r="T476" s="157"/>
      <c r="U476" s="157"/>
      <c r="V476" s="157"/>
      <c r="W476" s="157"/>
      <c r="X476" s="157"/>
      <c r="Y476" s="157"/>
      <c r="Z476" s="157"/>
      <c r="AA476" s="157"/>
      <c r="AB476" s="157"/>
      <c r="AC476" s="157"/>
      <c r="AD476" s="157"/>
      <c r="AE476" s="157"/>
      <c r="AF476" s="165"/>
      <c r="AI476" s="109" t="str">
        <f>"75S:jyakuninti_uke_code:" &amp; IF(I476="■",1,IF(L476="■",2,0))</f>
        <v>75S:jyakuninti_uke_code:0</v>
      </c>
    </row>
    <row r="477" spans="1:35" ht="18.75" customHeight="1" x14ac:dyDescent="0.2">
      <c r="A477" s="139"/>
      <c r="B477" s="123"/>
      <c r="C477" s="237"/>
      <c r="D477" s="142"/>
      <c r="E477" s="128"/>
      <c r="F477" s="142"/>
      <c r="G477" s="270"/>
      <c r="H477" s="245" t="s">
        <v>522</v>
      </c>
      <c r="I477" s="156" t="s">
        <v>383</v>
      </c>
      <c r="J477" s="157" t="s">
        <v>250</v>
      </c>
      <c r="K477" s="157"/>
      <c r="L477" s="160" t="s">
        <v>383</v>
      </c>
      <c r="M477" s="157" t="s">
        <v>268</v>
      </c>
      <c r="N477" s="157"/>
      <c r="O477" s="160" t="s">
        <v>383</v>
      </c>
      <c r="P477" s="157" t="s">
        <v>269</v>
      </c>
      <c r="Q477" s="207"/>
      <c r="R477" s="207"/>
      <c r="S477" s="207"/>
      <c r="T477" s="157"/>
      <c r="U477" s="157"/>
      <c r="V477" s="157"/>
      <c r="W477" s="157"/>
      <c r="X477" s="157"/>
      <c r="Y477" s="157"/>
      <c r="Z477" s="157"/>
      <c r="AA477" s="157"/>
      <c r="AB477" s="157"/>
      <c r="AC477" s="157"/>
      <c r="AD477" s="157"/>
      <c r="AE477" s="157"/>
      <c r="AF477" s="165"/>
      <c r="AI477" s="109" t="str">
        <f>"75S:field168:" &amp; IF(I477="■",1,IF(L477="■",3,IF(O477="■",2,0)))</f>
        <v>75S:field168:0</v>
      </c>
    </row>
    <row r="478" spans="1:35" ht="18.75" customHeight="1" x14ac:dyDescent="0.2">
      <c r="A478" s="183"/>
      <c r="B478" s="184"/>
      <c r="C478" s="264"/>
      <c r="D478" s="188"/>
      <c r="E478" s="187"/>
      <c r="F478" s="188"/>
      <c r="G478" s="267"/>
      <c r="H478" s="323" t="s">
        <v>197</v>
      </c>
      <c r="I478" s="156" t="s">
        <v>383</v>
      </c>
      <c r="J478" s="157" t="s">
        <v>250</v>
      </c>
      <c r="K478" s="158"/>
      <c r="L478" s="160" t="s">
        <v>383</v>
      </c>
      <c r="M478" s="157" t="s">
        <v>267</v>
      </c>
      <c r="N478" s="207"/>
      <c r="O478" s="222"/>
      <c r="P478" s="222"/>
      <c r="Q478" s="222"/>
      <c r="R478" s="222"/>
      <c r="S478" s="222"/>
      <c r="T478" s="222"/>
      <c r="U478" s="222"/>
      <c r="V478" s="222"/>
      <c r="W478" s="222"/>
      <c r="X478" s="222"/>
      <c r="Y478" s="222"/>
      <c r="Z478" s="222"/>
      <c r="AA478" s="222"/>
      <c r="AB478" s="222"/>
      <c r="AC478" s="222"/>
      <c r="AD478" s="222"/>
      <c r="AE478" s="222"/>
      <c r="AF478" s="285"/>
      <c r="AI478" s="109" t="str">
        <f>"75S:field212:" &amp; IF(I478="■",1,IF(L478="■",2,0))</f>
        <v>75S:field212:0</v>
      </c>
    </row>
    <row r="479" spans="1:35" ht="18.75" customHeight="1" x14ac:dyDescent="0.2">
      <c r="A479" s="129"/>
      <c r="B479" s="116"/>
      <c r="D479" s="131"/>
      <c r="F479" s="132"/>
      <c r="G479" s="136"/>
      <c r="H479" s="324" t="s">
        <v>181</v>
      </c>
      <c r="I479" s="196" t="s">
        <v>383</v>
      </c>
      <c r="J479" s="197" t="s">
        <v>250</v>
      </c>
      <c r="K479" s="197"/>
      <c r="L479" s="199"/>
      <c r="M479" s="200" t="s">
        <v>383</v>
      </c>
      <c r="N479" s="197" t="s">
        <v>281</v>
      </c>
      <c r="O479" s="197"/>
      <c r="P479" s="199"/>
      <c r="Q479" s="200" t="s">
        <v>383</v>
      </c>
      <c r="R479" s="235" t="s">
        <v>282</v>
      </c>
      <c r="S479" s="235"/>
      <c r="T479" s="235"/>
      <c r="U479" s="235"/>
      <c r="V479" s="197"/>
      <c r="W479" s="197"/>
      <c r="X479" s="197"/>
      <c r="Y479" s="197"/>
      <c r="Z479" s="197"/>
      <c r="AA479" s="197"/>
      <c r="AB479" s="197"/>
      <c r="AC479" s="197"/>
      <c r="AD479" s="197"/>
      <c r="AE479" s="197"/>
      <c r="AF479" s="283"/>
      <c r="AG479" s="109" t="str">
        <f>"ser_code = '" &amp; IF(A481="■","69S","") &amp; "'"</f>
        <v>ser_code = ''</v>
      </c>
      <c r="AH479" s="109"/>
      <c r="AI479" s="109" t="str">
        <f>"69S:"&amp;IF(AND(I479="□",M479="□",Q479="□"),"ketu_kangos_code:0",IF(I479="■","ketu_kangos_code:1:ketu_kshoku_code:1",IF(M479="■","ketu_kangos_code:2","ketu_kangos_code:1")&amp;IF(Q479="■",":ketu_kshoku_code:2",":ketu_kshoku_code:1")))</f>
        <v>69S:ketu_kangos_code:0</v>
      </c>
    </row>
    <row r="480" spans="1:35" ht="18.75" customHeight="1" x14ac:dyDescent="0.2">
      <c r="A480" s="139"/>
      <c r="B480" s="123"/>
      <c r="C480" s="237"/>
      <c r="D480" s="142"/>
      <c r="E480" s="128"/>
      <c r="F480" s="142"/>
      <c r="G480" s="270"/>
      <c r="H480" s="458" t="s">
        <v>185</v>
      </c>
      <c r="I480" s="349" t="s">
        <v>383</v>
      </c>
      <c r="J480" s="350" t="s">
        <v>395</v>
      </c>
      <c r="K480" s="351"/>
      <c r="L480" s="352"/>
      <c r="M480" s="353" t="s">
        <v>383</v>
      </c>
      <c r="N480" s="350" t="s">
        <v>396</v>
      </c>
      <c r="O480" s="355"/>
      <c r="P480" s="355"/>
      <c r="Q480" s="351"/>
      <c r="R480" s="351"/>
      <c r="S480" s="351"/>
      <c r="T480" s="351"/>
      <c r="U480" s="351"/>
      <c r="V480" s="351"/>
      <c r="W480" s="351"/>
      <c r="X480" s="351"/>
      <c r="Y480" s="567"/>
      <c r="Z480" s="567"/>
      <c r="AA480" s="567"/>
      <c r="AB480" s="567"/>
      <c r="AC480" s="567"/>
      <c r="AD480" s="567"/>
      <c r="AE480" s="567"/>
      <c r="AF480" s="566"/>
      <c r="AG480" s="109" t="str">
        <f>"69S:sisetukbn_code:" &amp; IF(D481="■",1,IF(D482="■",2,0))</f>
        <v>69S:sisetukbn_code:0</v>
      </c>
      <c r="AI480" s="109" t="str">
        <f>"69S:sintaikousoku_code:" &amp; IF(I480="■",1,IF(M480="■",2,0))</f>
        <v>69S:sintaikousoku_code:0</v>
      </c>
    </row>
    <row r="481" spans="1:37" ht="18.75" customHeight="1" x14ac:dyDescent="0.2">
      <c r="A481" s="125" t="s">
        <v>383</v>
      </c>
      <c r="B481" s="123">
        <v>69</v>
      </c>
      <c r="C481" s="237" t="s">
        <v>604</v>
      </c>
      <c r="D481" s="125" t="s">
        <v>383</v>
      </c>
      <c r="E481" s="128" t="s">
        <v>617</v>
      </c>
      <c r="F481" s="142"/>
      <c r="G481" s="270"/>
      <c r="H481" s="348" t="s">
        <v>430</v>
      </c>
      <c r="I481" s="349" t="s">
        <v>383</v>
      </c>
      <c r="J481" s="350" t="s">
        <v>395</v>
      </c>
      <c r="K481" s="351"/>
      <c r="L481" s="352"/>
      <c r="M481" s="353" t="s">
        <v>383</v>
      </c>
      <c r="N481" s="350" t="s">
        <v>431</v>
      </c>
      <c r="O481" s="355"/>
      <c r="P481" s="350"/>
      <c r="Q481" s="355"/>
      <c r="R481" s="355"/>
      <c r="S481" s="355"/>
      <c r="T481" s="355"/>
      <c r="U481" s="355"/>
      <c r="V481" s="355"/>
      <c r="W481" s="355"/>
      <c r="X481" s="355"/>
      <c r="Y481" s="355"/>
      <c r="Z481" s="355"/>
      <c r="AA481" s="355"/>
      <c r="AB481" s="355"/>
      <c r="AC481" s="355"/>
      <c r="AD481" s="355"/>
      <c r="AE481" s="355"/>
      <c r="AF481" s="566"/>
      <c r="AG481" s="109"/>
      <c r="AI481" s="109" t="str">
        <f>"69S:field223:" &amp; IF(I481="■",1,IF(M481="■",2,0))</f>
        <v>69S:field223:0</v>
      </c>
      <c r="AJ481" s="329"/>
      <c r="AK481" s="329"/>
    </row>
    <row r="482" spans="1:37" ht="18.75" customHeight="1" x14ac:dyDescent="0.2">
      <c r="A482" s="139"/>
      <c r="B482" s="123"/>
      <c r="C482" s="237" t="s">
        <v>618</v>
      </c>
      <c r="D482" s="125" t="s">
        <v>383</v>
      </c>
      <c r="E482" s="128" t="s">
        <v>619</v>
      </c>
      <c r="F482" s="142"/>
      <c r="G482" s="270"/>
      <c r="H482" s="155" t="s">
        <v>448</v>
      </c>
      <c r="I482" s="156" t="s">
        <v>383</v>
      </c>
      <c r="J482" s="157" t="s">
        <v>395</v>
      </c>
      <c r="K482" s="158"/>
      <c r="L482" s="159"/>
      <c r="M482" s="160" t="s">
        <v>383</v>
      </c>
      <c r="N482" s="157" t="s">
        <v>431</v>
      </c>
      <c r="O482" s="162"/>
      <c r="P482" s="157"/>
      <c r="Q482" s="162"/>
      <c r="R482" s="162"/>
      <c r="S482" s="162"/>
      <c r="T482" s="162"/>
      <c r="U482" s="162"/>
      <c r="V482" s="162"/>
      <c r="W482" s="162"/>
      <c r="X482" s="162"/>
      <c r="Y482" s="162"/>
      <c r="Z482" s="162"/>
      <c r="AA482" s="162"/>
      <c r="AB482" s="162"/>
      <c r="AC482" s="162"/>
      <c r="AD482" s="162"/>
      <c r="AE482" s="162"/>
      <c r="AF482" s="282"/>
      <c r="AI482" s="109" t="str">
        <f>"69S:field232:" &amp; IF(I482="■",1,IF(M482="■",2,0))</f>
        <v>69S:field232:0</v>
      </c>
    </row>
    <row r="483" spans="1:37" ht="18.75" customHeight="1" x14ac:dyDescent="0.2">
      <c r="A483" s="139"/>
      <c r="B483" s="123"/>
      <c r="C483" s="237" t="s">
        <v>620</v>
      </c>
      <c r="D483" s="142"/>
      <c r="E483" s="128" t="s">
        <v>616</v>
      </c>
      <c r="F483" s="142"/>
      <c r="G483" s="270"/>
      <c r="H483" s="855" t="s">
        <v>209</v>
      </c>
      <c r="I483" s="707" t="s">
        <v>383</v>
      </c>
      <c r="J483" s="708" t="s">
        <v>256</v>
      </c>
      <c r="K483" s="708"/>
      <c r="L483" s="708"/>
      <c r="M483" s="707" t="s">
        <v>383</v>
      </c>
      <c r="N483" s="708" t="s">
        <v>257</v>
      </c>
      <c r="O483" s="708"/>
      <c r="P483" s="708"/>
      <c r="Q483" s="251"/>
      <c r="R483" s="251"/>
      <c r="S483" s="251"/>
      <c r="T483" s="251"/>
      <c r="U483" s="251"/>
      <c r="V483" s="251"/>
      <c r="W483" s="251"/>
      <c r="X483" s="251"/>
      <c r="Y483" s="251"/>
      <c r="Z483" s="251"/>
      <c r="AA483" s="251"/>
      <c r="AB483" s="251"/>
      <c r="AC483" s="251"/>
      <c r="AD483" s="251"/>
      <c r="AE483" s="251"/>
      <c r="AF483" s="252"/>
      <c r="AI483" s="109" t="str">
        <f>"69S:chuusankanti_tiiki_code:" &amp; IF(I483="■",1,IF(M483="■",2,0))</f>
        <v>69S:chuusankanti_tiiki_code:0</v>
      </c>
    </row>
    <row r="484" spans="1:37" ht="18.75" customHeight="1" x14ac:dyDescent="0.2">
      <c r="A484" s="186"/>
      <c r="B484" s="265"/>
      <c r="C484" s="229"/>
      <c r="D484" s="186"/>
      <c r="E484" s="228"/>
      <c r="F484" s="188"/>
      <c r="G484" s="267"/>
      <c r="H484" s="856"/>
      <c r="I484" s="766"/>
      <c r="J484" s="753"/>
      <c r="K484" s="753"/>
      <c r="L484" s="753"/>
      <c r="M484" s="766"/>
      <c r="N484" s="753"/>
      <c r="O484" s="753"/>
      <c r="P484" s="753"/>
      <c r="Q484" s="212"/>
      <c r="R484" s="212"/>
      <c r="S484" s="212"/>
      <c r="T484" s="212"/>
      <c r="U484" s="212"/>
      <c r="V484" s="212"/>
      <c r="W484" s="212"/>
      <c r="X484" s="212"/>
      <c r="Y484" s="212"/>
      <c r="Z484" s="212"/>
      <c r="AA484" s="212"/>
      <c r="AB484" s="212"/>
      <c r="AC484" s="212"/>
      <c r="AD484" s="212"/>
      <c r="AE484" s="212"/>
      <c r="AF484" s="213"/>
    </row>
    <row r="485" spans="1:37" ht="8.25" customHeight="1" x14ac:dyDescent="0.2">
      <c r="C485" s="126"/>
      <c r="D485" s="126"/>
    </row>
    <row r="486" spans="1:37" ht="20.25" customHeight="1" x14ac:dyDescent="0.2">
      <c r="A486" s="286"/>
      <c r="B486" s="286"/>
      <c r="C486" s="2" t="s">
        <v>180</v>
      </c>
      <c r="D486" s="126"/>
      <c r="E486" s="287"/>
      <c r="F486" s="287"/>
      <c r="G486" s="329"/>
      <c r="H486" s="287"/>
      <c r="I486" s="287"/>
      <c r="J486" s="287"/>
      <c r="K486" s="287"/>
      <c r="L486" s="287"/>
      <c r="M486" s="287"/>
      <c r="N486" s="287"/>
      <c r="O486" s="287"/>
      <c r="P486" s="287"/>
      <c r="Q486" s="287"/>
      <c r="R486" s="287"/>
      <c r="S486" s="287"/>
      <c r="T486" s="287"/>
      <c r="U486" s="287"/>
      <c r="V486" s="287"/>
    </row>
  </sheetData>
  <mergeCells count="232">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17:H318"/>
    <mergeCell ref="I317:I318"/>
    <mergeCell ref="J317:K318"/>
    <mergeCell ref="L317:L318"/>
    <mergeCell ref="M317:N318"/>
    <mergeCell ref="H336:H337"/>
    <mergeCell ref="I336:I337"/>
    <mergeCell ref="J336:K337"/>
    <mergeCell ref="L336:L337"/>
    <mergeCell ref="M336:N337"/>
    <mergeCell ref="A349:E349"/>
    <mergeCell ref="F349:J349"/>
    <mergeCell ref="K349:R349"/>
    <mergeCell ref="H293:H294"/>
    <mergeCell ref="I293:I294"/>
    <mergeCell ref="J293:L294"/>
    <mergeCell ref="M293:M294"/>
    <mergeCell ref="N293:P294"/>
    <mergeCell ref="H306:H307"/>
    <mergeCell ref="I306:I307"/>
    <mergeCell ref="J306:L307"/>
    <mergeCell ref="M306:M307"/>
    <mergeCell ref="N306:P307"/>
    <mergeCell ref="H265:H266"/>
    <mergeCell ref="I265:I266"/>
    <mergeCell ref="J265:L266"/>
    <mergeCell ref="M265:M266"/>
    <mergeCell ref="N265:P266"/>
    <mergeCell ref="H274:H276"/>
    <mergeCell ref="I274:I276"/>
    <mergeCell ref="J274:K276"/>
    <mergeCell ref="L274:L276"/>
    <mergeCell ref="M274:N276"/>
    <mergeCell ref="H269:H270"/>
    <mergeCell ref="H204:H205"/>
    <mergeCell ref="I204:I205"/>
    <mergeCell ref="J204:K205"/>
    <mergeCell ref="L204:L205"/>
    <mergeCell ref="M204:N205"/>
    <mergeCell ref="H240:H241"/>
    <mergeCell ref="I240:I241"/>
    <mergeCell ref="J240:L241"/>
    <mergeCell ref="M240:M241"/>
    <mergeCell ref="N240:P241"/>
    <mergeCell ref="H196:H197"/>
    <mergeCell ref="I196:I197"/>
    <mergeCell ref="J196:K197"/>
    <mergeCell ref="L196:L197"/>
    <mergeCell ref="M196:N197"/>
    <mergeCell ref="H199:H200"/>
    <mergeCell ref="I199:I200"/>
    <mergeCell ref="J199:K200"/>
    <mergeCell ref="L199:L200"/>
    <mergeCell ref="M199:N200"/>
    <mergeCell ref="H160:H161"/>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H93:H94"/>
    <mergeCell ref="I93:I94"/>
    <mergeCell ref="J93:L94"/>
    <mergeCell ref="M93:M94"/>
    <mergeCell ref="N93:P94"/>
    <mergeCell ref="H110:H111"/>
    <mergeCell ref="I110:I111"/>
    <mergeCell ref="J110:L111"/>
    <mergeCell ref="M110:M111"/>
    <mergeCell ref="N110:P111"/>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H45:H46"/>
    <mergeCell ref="I45:I46"/>
    <mergeCell ref="J45:K46"/>
    <mergeCell ref="L45:L46"/>
    <mergeCell ref="M45:N46"/>
    <mergeCell ref="H47:H48"/>
    <mergeCell ref="I47:I48"/>
    <mergeCell ref="J47:K48"/>
    <mergeCell ref="L47:L48"/>
    <mergeCell ref="M47:N48"/>
    <mergeCell ref="H13:H14"/>
    <mergeCell ref="I13:I14"/>
    <mergeCell ref="J13:L14"/>
    <mergeCell ref="M13:M14"/>
    <mergeCell ref="N13:P14"/>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24:H25"/>
    <mergeCell ref="H36:H37"/>
    <mergeCell ref="A3:AF3"/>
    <mergeCell ref="S5:V5"/>
    <mergeCell ref="A7:C7"/>
    <mergeCell ref="D7:E7"/>
    <mergeCell ref="F7:G7"/>
    <mergeCell ref="H7:X7"/>
    <mergeCell ref="Y7:AB7"/>
    <mergeCell ref="AC7:AF7"/>
    <mergeCell ref="A8:C9"/>
    <mergeCell ref="H8:H9"/>
    <mergeCell ref="Y8:AB9"/>
    <mergeCell ref="AC8:AF9"/>
    <mergeCell ref="A5:E5"/>
    <mergeCell ref="F5:J5"/>
    <mergeCell ref="K5:R5"/>
  </mergeCells>
  <phoneticPr fontId="1"/>
  <conditionalFormatting sqref="A1:AF4 A350:AF1048576 S349:AF349 A6:AF23 A26:AF35 A38:AF67 A70:AF85 A88:AF103 A106:AF113 A116:AF135 A138:AF152 A155:AF173 A176:AF185 A188:AF230 A233:AF258 A261:AF268 A271:AF285 A288:AF299 A302:AF309 A312:AF328 A331:AF343 A346:AF348">
    <cfRule type="expression" dxfId="34" priority="22">
      <formula>CELL("protect",A1)=0</formula>
    </cfRule>
  </conditionalFormatting>
  <conditionalFormatting sqref="S5:AF5">
    <cfRule type="expression" dxfId="33" priority="21">
      <formula>CELL("protect",S5)=0</formula>
    </cfRule>
  </conditionalFormatting>
  <conditionalFormatting sqref="A5:R5">
    <cfRule type="expression" dxfId="32" priority="20">
      <formula>CELL("protect",A5)=0</formula>
    </cfRule>
  </conditionalFormatting>
  <conditionalFormatting sqref="A349:R349">
    <cfRule type="expression" dxfId="31" priority="19">
      <formula>CELL("protect",A349)=0</formula>
    </cfRule>
  </conditionalFormatting>
  <conditionalFormatting sqref="A24:AF25">
    <cfRule type="expression" dxfId="30" priority="18">
      <formula>CELL("protect",A24)=0</formula>
    </cfRule>
  </conditionalFormatting>
  <conditionalFormatting sqref="A36:AF37">
    <cfRule type="expression" dxfId="29" priority="17">
      <formula>CELL("protect",A36)=0</formula>
    </cfRule>
  </conditionalFormatting>
  <conditionalFormatting sqref="A68:AF69">
    <cfRule type="expression" dxfId="28" priority="16">
      <formula>CELL("protect",A68)=0</formula>
    </cfRule>
  </conditionalFormatting>
  <conditionalFormatting sqref="A86:AF87">
    <cfRule type="expression" dxfId="27" priority="15">
      <formula>CELL("protect",A86)=0</formula>
    </cfRule>
  </conditionalFormatting>
  <conditionalFormatting sqref="A104:AF105">
    <cfRule type="expression" dxfId="26" priority="14">
      <formula>CELL("protect",A104)=0</formula>
    </cfRule>
  </conditionalFormatting>
  <conditionalFormatting sqref="A114:AF115">
    <cfRule type="expression" dxfId="25" priority="13">
      <formula>CELL("protect",A114)=0</formula>
    </cfRule>
  </conditionalFormatting>
  <conditionalFormatting sqref="A136:AF137">
    <cfRule type="expression" dxfId="24" priority="12">
      <formula>CELL("protect",A136)=0</formula>
    </cfRule>
  </conditionalFormatting>
  <conditionalFormatting sqref="A153:AF154">
    <cfRule type="expression" dxfId="23" priority="11">
      <formula>CELL("protect",A153)=0</formula>
    </cfRule>
  </conditionalFormatting>
  <conditionalFormatting sqref="A174:AF175">
    <cfRule type="expression" dxfId="22" priority="10">
      <formula>CELL("protect",A174)=0</formula>
    </cfRule>
  </conditionalFormatting>
  <conditionalFormatting sqref="A186:AF187">
    <cfRule type="expression" dxfId="21" priority="9">
      <formula>CELL("protect",A186)=0</formula>
    </cfRule>
  </conditionalFormatting>
  <conditionalFormatting sqref="A231:AF232">
    <cfRule type="expression" dxfId="20" priority="8">
      <formula>CELL("protect",A231)=0</formula>
    </cfRule>
  </conditionalFormatting>
  <conditionalFormatting sqref="A259:AF260">
    <cfRule type="expression" dxfId="19" priority="7">
      <formula>CELL("protect",A259)=0</formula>
    </cfRule>
  </conditionalFormatting>
  <conditionalFormatting sqref="A269:AF270">
    <cfRule type="expression" dxfId="18" priority="6">
      <formula>CELL("protect",A269)=0</formula>
    </cfRule>
  </conditionalFormatting>
  <conditionalFormatting sqref="A286:AF287">
    <cfRule type="expression" dxfId="17" priority="5">
      <formula>CELL("protect",A286)=0</formula>
    </cfRule>
  </conditionalFormatting>
  <conditionalFormatting sqref="A300:AF301">
    <cfRule type="expression" dxfId="16" priority="4">
      <formula>CELL("protect",A300)=0</formula>
    </cfRule>
  </conditionalFormatting>
  <conditionalFormatting sqref="A310:AF311">
    <cfRule type="expression" dxfId="15" priority="3">
      <formula>CELL("protect",A310)=0</formula>
    </cfRule>
  </conditionalFormatting>
  <conditionalFormatting sqref="A329:AF330">
    <cfRule type="expression" dxfId="14" priority="2">
      <formula>CELL("protect",A329)=0</formula>
    </cfRule>
  </conditionalFormatting>
  <conditionalFormatting sqref="A344:AF345">
    <cfRule type="expression" dxfId="13" priority="1">
      <formula>CELL("protect",A344)=0</formula>
    </cfRule>
  </conditionalFormatting>
  <dataValidations count="1">
    <dataValidation type="list" allowBlank="1" showInputMessage="1" showErrorMessage="1" sqref="Q8:Q9 U8:U9 L12 M13:M16 M18 L274 L32:L33 O32 R33 D481:D482 L29 M44 O54 O57 P58 R65 D462:D464 M76 O77:O78 L92 O97 R97 L121:L124 O123 M125 O127:P127 AC138:AC139 O145 Y155:Y156 Q155 O162 O168 Q189 L196:L205 M206 M218 O220:O221 O207:O208 O213 O217 Q203 L237 L239 L242:L246 O251 M238 A293 A463 L73 Q271 M277 O278:O279 L292 L317:L320 O319 M321 D336:D339 O338 Y116:Y117 AC155:AC156 Y188:Y189 Y312:Y313 AC116:AC117 AC188:AC189 AC312:AC313 A30 U87 AC88:AC89 A126 R147 M138:M142 A17 D207:D208 D210:D211 A246 L363:L366 Y288:Y289 AC176:AC179 F208:F209 A53 A78 A96 M452:M461 A209 D245:D246 Y176:Y179 AC271:AC272 D264:D265 A265 Q352:Q353 U352:U353 L356 M362 M357:M360 L370 L413 L433 L435 L438:L441 L473 Q374 Q458 O364:O365 O387 O401:O402 O462:O463 Q397 O411:O412 O389 O446 P390 O418 R418 M434 M331:M335 O477 A454 M469:M472 Q469 A370 D386 Q106 Q409 A386 D370:D371 A425 A337 D454:D455 O39:O40 O165 P180 D359:D360 T127 M409:M412 O322:O323 O20:O21 Q423 O129:O130 R127 Q429 Q452 A109 D144:D147 M423:M432 L416:L422 L443:L451 M261:M266 AC261:AC262 L462:L468 D278:D280 AC288:AC289 D30:D31 P147 Y302:Y303 M302:M307 L17 O17 O100 AC26:AC27 L41 U66 O119:O120 T147 M176:M180 Q176 M191:M195 O235:O236 M247 O263:O264 Q261 Y271:Y272 M288:M291 O290:O291 O304:O305 Q302 O315:O316 Q288 O272:O273 O375:O376 L401:L408 M442 O421 D109:D110 M106:M111 M479:M484 L45:L65 AC38:AC39 M8:M11 Y38:Y39 O108:O109 O157:O159 O367 O253 M233:M236 O431:O432 Y331:Y332 D180:D183 A163 D163:D168 A481 D293:D294 A305 L207:L217 R208 A319 O95 D473:D474 A473 O361 O242 AC233:AC234 A359 O296 A402 D414:D415 Q233 O416 D425:D426 A180 O438 D319:D322 L476:L478 O448 Y138:Y139 M30:M31 AC302:AC303 L361 M93:M94 M240:M241 M293:M294 Y261:Y262 M371:M372 M414:M415 M436:M437 M474:M475 AC106:AC107 Y106:Y107 A414 Y233:Y234 Q38 AC331:AC332 Q70 O71:O72 Y70:Y71 AC70:AC71 O90:O91 O373 L373 M374:M377 L378:L396 M397:M400 D305:D306 D438:D439 A439 M312:M316 U175 A144 D402:D404 AC10:AC11 U154 I76:I274 U260 U37 U311 U105 U115 D53:D55 U232 U345 U301 M38:M40 O26 M70:M72 D78:D80 M116:M120 M155:M158 M188:M189 M271:M273 A278 I8:I41 U69 U137 U187 U287 U330 U270 D17:D18 Q479 Y10:Y11 M367:M369 M24:M28 Y26:Y27 I44:I73 M88:M91 D96:D97 Q88 Y88:Y89 D126:D129 M352:M355 I352:I484 L19:L25 R23 O23 WWC25 P24:Q25 U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O34:O35 L36:M37 WWC37 P36:Q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O66:O67 L68:M69 WWC69 P68:Q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L77:L85 O85 R85 L86:M87 WWC87 P86:Q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WWB86:WWC86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O102:O103 R103 L95:L103 L104:M105 WWC105 P104:Q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WWB104:WWC104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R113 L112:L113 O112:O113 L114:M115 WWC115 P114:Q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WWB114:WWC114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R135 L126:L135 O134:O135 L136:M137 WWC137 P136:Q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WWB136:WWC136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R152 L143:L152 O151:O152 L153:M154 WWC154 P153:Q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WWB153:WWC153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L159:L173 R173 O172:O173 L174:M175 WWC175 P174:Q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WWB174:WWC174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O184:O185 R185 L181:L185 L186:M187 WWC187 P186:Q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R230 L219:L230 O229:O230 L231:M232 WWC232 P231:Q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WWB231:WWC231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O257:O258 R258 L248:L258 L259:M260 WWC260 P259:Q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O267:O268 R268 L267:L268 L269:M270 WWC270 P269:Q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WWB269:WWC269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R285 O285 L278:L285 L286:M287 WWC287 P286:Q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O298:O299 R299 L295:L299 L300:M301 WWC301 P300:Q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L308:L309 R309 O308:O309 L310:M311 WWC311 P310:Q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T310:U310 JP310:JQ310 TL310:TM310 ADH310:ADI310 AND310:ANE310 AWZ310:AXA310 BGV310:BGW310 BQR310:BQS310 CAN310:CAO310 CKJ310:CKK310 CUF310:CUG310 DEB310:DEC310 DNX310:DNY310 DXT310:DXU310 EHP310:EHQ310 ERL310:ERM310 FBH310:FBI310 FLD310:FLE310 FUZ310:FVA310 GEV310:GEW310 GOR310:GOS310 GYN310:GYO310 HIJ310:HIK310 HSF310:HSG310 ICB310:ICC310 ILX310:ILY310 IVT310:IVU310 JFP310:JFQ310 JPL310:JPM310 JZH310:JZI310 KJD310:KJE310 KSZ310:KTA310 LCV310:LCW310 LMR310:LMS310 LWN310:LWO310 MGJ310:MGK310 MQF310:MQG310 NAB310:NAC310 NJX310:NJY310 NTT310:NTU310 ODP310:ODQ310 ONL310:ONM310 OXH310:OXI310 PHD310:PHE310 PQZ310:PRA310 QAV310:QAW310 QKR310:QKS310 QUN310:QUO310 REJ310:REK310 ROF310:ROG310 RYB310:RYC310 SHX310:SHY310 SRT310:SRU310 TBP310:TBQ310 TLL310:TLM310 TVH310:TVI310 UFD310:UFE310 UOZ310:UPA310 UYV310:UYW310 VIR310:VIS310 VSN310:VSO310 WCJ310:WCK310 WMF310:WMG310 WWB310:WWC310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L322:L328 R328 O327:O328 L329:M330 WWC330 P329:Q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I277:I345 L336:L343 R343 O342:O343 L344:M345 WWC345 P344:Q345 JH344:JI345 TD344:TE345 ACZ344:ADA345 AMV344:AMW345 AWR344:AWS345 BGN344:BGO345 BQJ344:BQK345 CAF344:CAG345 CKB344:CKC345 CTX344:CTY345 DDT344:DDU345 DNP344:DNQ345 DXL344:DXM345 EHH344:EHI345 ERD344:ERE345 FAZ344:FBA345 FKV344:FKW345 FUR344:FUS345 GEN344:GEO345 GOJ344:GOK345 GYF344:GYG345 HIB344:HIC345 HRX344:HRY345 IBT344:IBU345 ILP344:ILQ345 IVL344:IVM345 JFH344:JFI345 JPD344:JPE345 JYZ344:JZA345 KIV344:KIW345 KSR344:KSS345 LCN344:LCO345 LMJ344:LMK345 LWF344:LWG345 MGB344:MGC345 MPX344:MPY345 MZT344:MZU345 NJP344:NJQ345 NTL344:NTM345 ODH344:ODI345 OND344:ONE345 OWZ344:OXA345 PGV344:PGW345 PQR344:PQS345 QAN344:QAO345 QKJ344:QKK345 QUF344:QUG345 REB344:REC345 RNX344:RNY345 RXT344:RXU345 SHP344:SHQ345 SRL344:SRM345 TBH344:TBI345 TLD344:TLE345 TUZ344:TVA345 UEV344:UEW345 UOR344:UOS345 UYN344:UYO345 VIJ344:VIK345 VSF344:VSG345 WCB344:WCC345 WLX344:WLY345 WVT344:WVU345 JL344:JM345 TH344:TI345 ADD344:ADE345 AMZ344:ANA345 AWV344:AWW345 BGR344:BGS345 BQN344:BQO345 CAJ344:CAK345 CKF344:CKG345 CUB344:CUC345 DDX344:DDY345 DNT344:DNU345 DXP344:DXQ345 EHL344:EHM345 ERH344:ERI345 FBD344:FBE345 FKZ344:FLA345 FUV344:FUW345 GER344:GES345 GON344:GOO345 GYJ344:GYK345 HIF344:HIG345 HSB344:HSC345 IBX344:IBY345 ILT344:ILU345 IVP344:IVQ345 JFL344:JFM345 JPH344:JPI345 JZD344:JZE345 KIZ344:KJA345 KSV344:KSW345 LCR344:LCS345 LMN344:LMO345 LWJ344:LWK345 MGF344:MGG345 MQB344:MQC345 MZX344:MZY345 NJT344:NJU345 NTP344:NTQ345 ODL344:ODM345 ONH344:ONI345 OXD344:OXE345 PGZ344:PHA345 PQV344:PQW345 QAR344:QAS345 QKN344:QKO345 QUJ344:QUK345 REF344:REG345 ROB344:ROC345 RXX344:RXY345 SHT344:SHU345 SRP344:SRQ345 TBL344:TBM345 TLH344:TLI345 TVD344:TVE345 UEZ344:UFA345 UOV344:UOW345 UYR344:UYS345 VIN344:VIO345 VSJ344:VSK345 WCF344:WCG345 WMB344:WMC345 WVX344:WVY345 S344:S345 JO344:JO345 TK344:TK345 ADG344:ADG345 ANC344:ANC345 AWY344:AWY345 BGU344:BGU345 BQQ344:BQQ345 CAM344:CAM345 CKI344:CKI345 CUE344:CUE345 DEA344:DEA345 DNW344:DNW345 DXS344:DXS345 EHO344:EHO345 ERK344:ERK345 FBG344:FBG345 FLC344:FLC345 FUY344:FUY345 GEU344:GEU345 GOQ344:GOQ345 GYM344:GYM345 HII344:HII345 HSE344:HSE345 ICA344:ICA345 ILW344:ILW345 IVS344:IVS345 JFO344:JFO345 JPK344:JPK345 JZG344:JZG345 KJC344:KJC345 KSY344:KSY345 LCU344:LCU345 LMQ344:LMQ345 LWM344:LWM345 MGI344:MGI345 MQE344:MQE345 NAA344:NAA345 NJW344:NJW345 NTS344:NTS345 ODO344:ODO345 ONK344:ONK345 OXG344:OXG345 PHC344:PHC345 PQY344:PQY345 QAU344:QAU345 QKQ344:QKQ345 QUM344:QUM345 REI344:REI345 ROE344:ROE345 RYA344:RYA345 SHW344:SHW345 SRS344:SRS345 TBO344:TBO345 TLK344:TLK345 TVG344:TVG345 UFC344:UFC345 UOY344:UOY345 UYU344:UYU345 VIQ344:VIQ345 VSM344:VSM345 WCI344:WCI345 WME344:WME345 WWA344:WWA345 T344:U344 JP344:JQ344 TL344:TM344 ADH344:ADI344 AND344:ANE344 AWZ344:AXA344 BGV344:BGW344 BQR344:BQS344 CAN344:CAO344 CKJ344:CKK344 CUF344:CUG344 DEB344:DEC344 DNX344:DNY344 DXT344:DXU344 EHP344:EHQ344 ERL344:ERM344 FBH344:FBI344 FLD344:FLE344 FUZ344:FVA344 GEV344:GEW344 GOR344:GOS344 GYN344:GYO344 HIJ344:HIK344 HSF344:HSG344 ICB344:ICC344 ILX344:ILY344 IVT344:IVU344 JFP344:JFQ344 JPL344:JPM344 JZH344:JZI344 KJD344:KJE344 KSZ344:KTA344 LCV344:LCW344 LMR344:LMS344 LWN344:LWO344 MGJ344:MGK344 MQF344:MQG344 NAB344:NAC344 NJX344:NJY344 NTT344:NTU344 ODP344:ODQ344 ONL344:ONM344 OXH344:OXI344 PHD344:PHE344 PQZ344:PRA344 QAV344:QAW344 QKR344:QKS344 QUN344:QUO344 REJ344:REK344 ROF344:ROG344 RYB344:RYC344 SHX344:SHY344 SRT344:SRU344 TBP344:TBQ344 TLL344:TLM344 TVH344:TVI344 UFD344:UFE344 UOZ344:UPA344 UYV344:UYW344 VIR344:VIS344 VSN344:VSO344 WCJ344:WCK344 WMF344:WMG344 WWB344:WWC344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formula1>"□,■"</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86" customFormat="1" ht="20.25" customHeight="1" x14ac:dyDescent="0.2">
      <c r="A1" s="85"/>
      <c r="B1" s="96" t="s">
        <v>736</v>
      </c>
    </row>
    <row r="2" spans="1:17" ht="18.75" customHeight="1" x14ac:dyDescent="0.2">
      <c r="B2" s="21"/>
      <c r="C2" s="21"/>
      <c r="G2" s="98"/>
      <c r="H2" s="98"/>
      <c r="I2" s="98"/>
      <c r="J2" s="98"/>
      <c r="K2" s="98"/>
      <c r="L2" s="98"/>
      <c r="M2" s="98"/>
    </row>
    <row r="3" spans="1:17" ht="31.5" customHeight="1" x14ac:dyDescent="0.2">
      <c r="A3" s="97"/>
      <c r="B3" s="815" t="s">
        <v>737</v>
      </c>
      <c r="C3" s="815"/>
      <c r="D3" s="815"/>
      <c r="E3" s="815"/>
      <c r="F3" s="815"/>
      <c r="G3" s="815"/>
      <c r="H3" s="3"/>
      <c r="I3" s="3"/>
      <c r="J3" s="3"/>
      <c r="L3"/>
      <c r="M3"/>
      <c r="N3"/>
      <c r="O3"/>
      <c r="P3"/>
      <c r="Q3"/>
    </row>
    <row r="4" spans="1:17" ht="20.25" customHeight="1" x14ac:dyDescent="0.2">
      <c r="A4" s="97"/>
      <c r="B4" s="2" t="s">
        <v>641</v>
      </c>
      <c r="C4" s="3"/>
      <c r="D4" s="3"/>
      <c r="E4" s="3"/>
      <c r="F4" s="3"/>
      <c r="G4" s="3"/>
      <c r="H4" s="3"/>
      <c r="I4" s="3"/>
      <c r="J4" s="3"/>
      <c r="K4" s="3"/>
      <c r="L4"/>
      <c r="M4"/>
      <c r="N4"/>
      <c r="O4"/>
      <c r="P4"/>
      <c r="Q4"/>
    </row>
    <row r="5" spans="1:17" ht="20.25" customHeight="1" x14ac:dyDescent="0.2">
      <c r="A5" s="97"/>
      <c r="B5" s="2" t="s">
        <v>738</v>
      </c>
      <c r="C5" s="3"/>
      <c r="D5" s="3"/>
      <c r="E5" s="3"/>
      <c r="F5" s="3"/>
      <c r="G5" s="3"/>
      <c r="H5" s="3"/>
      <c r="I5" s="3"/>
      <c r="J5" s="3"/>
      <c r="K5" s="3"/>
      <c r="L5"/>
      <c r="M5"/>
      <c r="N5"/>
      <c r="O5"/>
      <c r="P5"/>
      <c r="Q5"/>
    </row>
    <row r="6" spans="1:17" ht="20.25" customHeight="1" x14ac:dyDescent="0.2">
      <c r="A6"/>
      <c r="B6" s="2" t="s">
        <v>739</v>
      </c>
      <c r="C6"/>
      <c r="D6"/>
      <c r="E6"/>
      <c r="F6"/>
      <c r="G6"/>
      <c r="H6"/>
      <c r="I6"/>
      <c r="J6"/>
      <c r="K6"/>
      <c r="L6"/>
      <c r="M6"/>
      <c r="N6"/>
      <c r="O6"/>
      <c r="P6"/>
      <c r="Q6"/>
    </row>
    <row r="7" spans="1:17" ht="20.25" customHeight="1" x14ac:dyDescent="0.2">
      <c r="A7"/>
      <c r="B7" s="2" t="s">
        <v>740</v>
      </c>
      <c r="C7"/>
      <c r="D7"/>
      <c r="E7"/>
      <c r="F7"/>
      <c r="G7"/>
      <c r="H7"/>
      <c r="I7"/>
      <c r="J7"/>
      <c r="K7"/>
      <c r="L7"/>
      <c r="M7"/>
      <c r="N7"/>
      <c r="O7"/>
      <c r="P7"/>
      <c r="Q7"/>
    </row>
    <row r="8" spans="1:17" ht="20.25" customHeight="1" x14ac:dyDescent="0.2">
      <c r="A8"/>
      <c r="B8" s="2" t="s">
        <v>741</v>
      </c>
      <c r="C8"/>
      <c r="D8"/>
      <c r="E8"/>
      <c r="F8"/>
      <c r="G8"/>
      <c r="H8"/>
      <c r="I8"/>
      <c r="J8"/>
      <c r="K8"/>
      <c r="L8"/>
      <c r="M8"/>
      <c r="N8"/>
      <c r="O8"/>
      <c r="P8"/>
      <c r="Q8"/>
    </row>
    <row r="9" spans="1:17" ht="20.25" customHeight="1" x14ac:dyDescent="0.2">
      <c r="A9"/>
      <c r="B9" s="2" t="s">
        <v>742</v>
      </c>
      <c r="C9"/>
      <c r="D9"/>
      <c r="E9"/>
      <c r="F9"/>
      <c r="G9"/>
      <c r="H9"/>
      <c r="I9"/>
      <c r="J9"/>
      <c r="K9"/>
      <c r="L9"/>
      <c r="M9"/>
      <c r="N9"/>
      <c r="O9"/>
      <c r="P9"/>
      <c r="Q9"/>
    </row>
    <row r="10" spans="1:17" ht="50.25" customHeight="1" x14ac:dyDescent="0.2">
      <c r="A10"/>
      <c r="B10" s="813" t="s">
        <v>743</v>
      </c>
      <c r="C10" s="813"/>
      <c r="D10" s="813"/>
      <c r="E10" s="813"/>
      <c r="F10" s="813"/>
      <c r="G10" s="813"/>
      <c r="H10" s="813"/>
      <c r="I10" s="813"/>
      <c r="J10"/>
      <c r="K10"/>
      <c r="L10"/>
      <c r="M10"/>
      <c r="N10"/>
      <c r="O10"/>
      <c r="P10"/>
      <c r="Q10"/>
    </row>
    <row r="11" spans="1:17" ht="21" customHeight="1" x14ac:dyDescent="0.2">
      <c r="A11"/>
      <c r="B11" s="813" t="s">
        <v>744</v>
      </c>
      <c r="C11" s="813"/>
      <c r="D11" s="813"/>
      <c r="E11" s="813"/>
      <c r="F11" s="813"/>
      <c r="G11" s="813"/>
    </row>
    <row r="12" spans="1:17" ht="20.25" customHeight="1" x14ac:dyDescent="0.2">
      <c r="A12"/>
      <c r="B12" s="2" t="s">
        <v>745</v>
      </c>
      <c r="C12"/>
      <c r="D12"/>
      <c r="E12"/>
      <c r="F12"/>
      <c r="G12"/>
      <c r="H12"/>
      <c r="I12"/>
      <c r="J12"/>
      <c r="K12"/>
      <c r="L12"/>
      <c r="M12"/>
      <c r="N12"/>
      <c r="O12"/>
      <c r="P12"/>
      <c r="Q12"/>
    </row>
    <row r="13" spans="1:17" ht="20.25" customHeight="1" x14ac:dyDescent="0.2">
      <c r="A13"/>
      <c r="B13" s="2" t="s">
        <v>746</v>
      </c>
      <c r="C13"/>
      <c r="D13"/>
      <c r="E13"/>
      <c r="F13"/>
      <c r="G13"/>
      <c r="H13"/>
      <c r="I13"/>
      <c r="J13"/>
      <c r="K13"/>
      <c r="L13"/>
      <c r="M13"/>
      <c r="N13"/>
      <c r="O13"/>
      <c r="P13"/>
      <c r="Q13"/>
    </row>
    <row r="14" spans="1:17" ht="20.25" customHeight="1" x14ac:dyDescent="0.2">
      <c r="A14"/>
      <c r="B14" s="2" t="s">
        <v>747</v>
      </c>
      <c r="C14"/>
      <c r="D14"/>
      <c r="E14"/>
      <c r="F14"/>
      <c r="G14"/>
      <c r="H14"/>
      <c r="I14"/>
      <c r="J14"/>
      <c r="K14"/>
      <c r="L14"/>
      <c r="M14"/>
      <c r="N14"/>
      <c r="O14"/>
      <c r="P14"/>
      <c r="Q14"/>
    </row>
    <row r="15" spans="1:17" ht="20.25" customHeight="1" x14ac:dyDescent="0.2">
      <c r="A15"/>
      <c r="B15" s="2" t="s">
        <v>748</v>
      </c>
      <c r="C15"/>
      <c r="D15"/>
      <c r="E15"/>
      <c r="F15"/>
      <c r="G15"/>
      <c r="H15"/>
      <c r="I15"/>
      <c r="J15"/>
      <c r="K15"/>
      <c r="L15"/>
      <c r="M15"/>
      <c r="N15"/>
      <c r="O15"/>
      <c r="P15"/>
      <c r="Q15"/>
    </row>
    <row r="16" spans="1:17" ht="20.25" customHeight="1" x14ac:dyDescent="0.2">
      <c r="A16"/>
      <c r="B16" s="2" t="s">
        <v>749</v>
      </c>
      <c r="C16"/>
      <c r="D16"/>
      <c r="E16"/>
      <c r="F16"/>
      <c r="G16"/>
      <c r="H16"/>
      <c r="I16"/>
      <c r="J16"/>
      <c r="K16"/>
      <c r="L16"/>
      <c r="M16"/>
      <c r="N16"/>
      <c r="O16"/>
      <c r="P16"/>
      <c r="Q16"/>
    </row>
    <row r="17" spans="1:17" ht="20.25" customHeight="1" x14ac:dyDescent="0.2">
      <c r="A17"/>
      <c r="B17" s="2" t="s">
        <v>750</v>
      </c>
      <c r="C17"/>
      <c r="D17"/>
      <c r="E17"/>
      <c r="F17"/>
      <c r="G17"/>
      <c r="H17"/>
      <c r="I17"/>
      <c r="J17"/>
      <c r="K17"/>
      <c r="L17"/>
      <c r="M17"/>
      <c r="N17"/>
      <c r="O17"/>
      <c r="P17"/>
      <c r="Q17"/>
    </row>
    <row r="18" spans="1:17" ht="20.25" customHeight="1" x14ac:dyDescent="0.2">
      <c r="A18"/>
      <c r="B18" s="2" t="s">
        <v>751</v>
      </c>
      <c r="C18"/>
      <c r="D18"/>
      <c r="E18"/>
      <c r="F18"/>
      <c r="G18"/>
      <c r="H18"/>
      <c r="I18"/>
      <c r="J18"/>
      <c r="K18"/>
      <c r="L18"/>
      <c r="M18"/>
      <c r="N18"/>
      <c r="O18"/>
      <c r="P18"/>
      <c r="Q18"/>
    </row>
    <row r="19" spans="1:17" ht="45" customHeight="1" x14ac:dyDescent="0.2">
      <c r="A19"/>
      <c r="B19" s="813" t="s">
        <v>752</v>
      </c>
      <c r="C19" s="814"/>
      <c r="D19" s="814"/>
      <c r="E19" s="814"/>
      <c r="F19" s="814"/>
      <c r="G19" s="814"/>
      <c r="H19"/>
      <c r="I19"/>
      <c r="J19"/>
      <c r="K19"/>
      <c r="L19"/>
      <c r="M19"/>
      <c r="N19"/>
      <c r="O19"/>
      <c r="P19"/>
      <c r="Q19"/>
    </row>
    <row r="20" spans="1:17" ht="20.25" customHeight="1" x14ac:dyDescent="0.2">
      <c r="A20"/>
      <c r="B20" s="2" t="s">
        <v>753</v>
      </c>
      <c r="C20"/>
      <c r="D20"/>
      <c r="E20"/>
      <c r="F20" s="2"/>
      <c r="G20" s="2"/>
      <c r="H20"/>
      <c r="I20"/>
      <c r="J20"/>
      <c r="K20"/>
      <c r="L20"/>
      <c r="M20"/>
      <c r="N20"/>
      <c r="O20"/>
      <c r="P20"/>
      <c r="Q20"/>
    </row>
    <row r="21" spans="1:17" s="93" customFormat="1" ht="19.5" customHeight="1" x14ac:dyDescent="0.2">
      <c r="A21" s="99"/>
      <c r="B21" s="2" t="s">
        <v>754</v>
      </c>
    </row>
    <row r="22" spans="1:17" s="93" customFormat="1" ht="19.5" customHeight="1" x14ac:dyDescent="0.2">
      <c r="A22" s="99"/>
      <c r="B22" s="2" t="s">
        <v>755</v>
      </c>
    </row>
    <row r="23" spans="1:17" s="93" customFormat="1" ht="19.5" customHeight="1" x14ac:dyDescent="0.2">
      <c r="A23" s="99"/>
      <c r="B23" s="2" t="s">
        <v>756</v>
      </c>
      <c r="K23" s="86"/>
      <c r="L23" s="86"/>
      <c r="M23" s="86"/>
      <c r="N23" s="86"/>
    </row>
    <row r="24" spans="1:17" s="93" customFormat="1" ht="19.5" customHeight="1" x14ac:dyDescent="0.2">
      <c r="A24" s="99"/>
      <c r="B24" s="2" t="s">
        <v>757</v>
      </c>
      <c r="K24" s="86"/>
    </row>
    <row r="25" spans="1:17" s="93" customFormat="1" ht="19.5" customHeight="1" x14ac:dyDescent="0.2">
      <c r="A25" s="99"/>
      <c r="B25" s="2" t="s">
        <v>758</v>
      </c>
      <c r="K25" s="86"/>
    </row>
    <row r="26" spans="1:17" s="93" customFormat="1" ht="19.5" customHeight="1" x14ac:dyDescent="0.2">
      <c r="A26" s="99"/>
      <c r="B26" s="2" t="s">
        <v>759</v>
      </c>
    </row>
    <row r="27" spans="1:17" s="93" customFormat="1" ht="19.5" customHeight="1" x14ac:dyDescent="0.2">
      <c r="A27" s="99"/>
      <c r="B27" s="2" t="s">
        <v>760</v>
      </c>
    </row>
    <row r="28" spans="1:17" s="93" customFormat="1" ht="20.25" customHeight="1" x14ac:dyDescent="0.2">
      <c r="A28" s="99"/>
      <c r="B28" s="2" t="s">
        <v>761</v>
      </c>
    </row>
    <row r="29" spans="1:17" ht="20.25" customHeight="1" x14ac:dyDescent="0.2">
      <c r="A29" s="1"/>
      <c r="B29" s="2" t="s">
        <v>762</v>
      </c>
      <c r="C29"/>
      <c r="D29"/>
      <c r="E29"/>
      <c r="F29"/>
      <c r="G29"/>
      <c r="H29"/>
      <c r="I29"/>
      <c r="J29"/>
      <c r="K29"/>
    </row>
    <row r="30" spans="1:17" ht="19.5" customHeight="1" x14ac:dyDescent="0.2">
      <c r="A30" s="1"/>
      <c r="B30" s="2" t="s">
        <v>763</v>
      </c>
      <c r="C30"/>
      <c r="D30"/>
      <c r="E30"/>
      <c r="F30"/>
      <c r="G30"/>
      <c r="H30"/>
      <c r="I30"/>
      <c r="J30"/>
      <c r="K30"/>
    </row>
    <row r="31" spans="1:17" s="92" customFormat="1" ht="20.25" customHeight="1" x14ac:dyDescent="0.2">
      <c r="B31" s="813" t="s">
        <v>764</v>
      </c>
      <c r="C31" s="813"/>
      <c r="D31" s="813"/>
      <c r="E31" s="813"/>
      <c r="F31" s="813"/>
      <c r="G31" s="813"/>
    </row>
    <row r="32" spans="1:17" s="92" customFormat="1" ht="20.25" customHeight="1" x14ac:dyDescent="0.2">
      <c r="B32" s="2" t="s">
        <v>765</v>
      </c>
      <c r="C32" s="93"/>
      <c r="D32" s="93"/>
      <c r="E32" s="93"/>
    </row>
    <row r="33" spans="1:19" s="92" customFormat="1" ht="20.25" customHeight="1" x14ac:dyDescent="0.2">
      <c r="B33" s="2" t="s">
        <v>766</v>
      </c>
      <c r="C33" s="93"/>
      <c r="D33" s="93"/>
      <c r="E33" s="93"/>
    </row>
    <row r="34" spans="1:19" s="92" customFormat="1" ht="35.25" customHeight="1" x14ac:dyDescent="0.2">
      <c r="B34" s="815" t="s">
        <v>767</v>
      </c>
      <c r="C34" s="815"/>
      <c r="D34" s="815"/>
      <c r="E34" s="815"/>
      <c r="F34" s="815"/>
      <c r="G34" s="815"/>
      <c r="H34" s="815"/>
      <c r="I34" s="815"/>
      <c r="J34" s="815"/>
      <c r="K34" s="815"/>
      <c r="L34" s="815"/>
      <c r="M34" s="815"/>
      <c r="N34" s="815"/>
      <c r="O34" s="815"/>
      <c r="P34" s="815"/>
      <c r="Q34" s="815"/>
      <c r="S34" s="95"/>
    </row>
    <row r="35" spans="1:19" s="92" customFormat="1" ht="20.25" customHeight="1" x14ac:dyDescent="0.2">
      <c r="B35" s="813" t="s">
        <v>768</v>
      </c>
      <c r="C35" s="813"/>
      <c r="D35" s="813"/>
      <c r="E35" s="813"/>
      <c r="F35" s="813"/>
      <c r="G35" s="813"/>
    </row>
    <row r="36" spans="1:19" ht="20.25" customHeight="1" x14ac:dyDescent="0.2">
      <c r="B36" s="813" t="s">
        <v>769</v>
      </c>
      <c r="C36" s="813"/>
      <c r="D36" s="813"/>
      <c r="E36" s="813"/>
      <c r="F36" s="813"/>
      <c r="G36" s="813"/>
    </row>
    <row r="37" spans="1:19" ht="20.25" customHeight="1" x14ac:dyDescent="0.2">
      <c r="B37" s="813" t="s">
        <v>770</v>
      </c>
      <c r="C37" s="813"/>
      <c r="D37" s="813"/>
      <c r="E37" s="813"/>
      <c r="F37" s="813"/>
      <c r="G37" s="813"/>
    </row>
    <row r="38" spans="1:19" s="92" customFormat="1" ht="20.25" customHeight="1" x14ac:dyDescent="0.2">
      <c r="B38" s="813" t="s">
        <v>771</v>
      </c>
      <c r="C38" s="813"/>
      <c r="D38" s="813"/>
      <c r="E38" s="813"/>
      <c r="F38" s="813"/>
      <c r="G38" s="813"/>
      <c r="H38" s="813"/>
      <c r="I38" s="813"/>
      <c r="J38" s="813"/>
      <c r="K38" s="813"/>
      <c r="L38" s="813"/>
      <c r="M38" s="813"/>
      <c r="N38" s="813"/>
      <c r="O38" s="813"/>
      <c r="P38" s="813"/>
      <c r="Q38" s="813"/>
      <c r="S38" s="95"/>
    </row>
    <row r="39" spans="1:19" s="86" customFormat="1" ht="20.25" customHeight="1" x14ac:dyDescent="0.2">
      <c r="A39" s="85"/>
      <c r="B39" s="2" t="s">
        <v>772</v>
      </c>
      <c r="C39"/>
      <c r="D39"/>
      <c r="E39"/>
    </row>
    <row r="40" spans="1:19" ht="20.25" customHeight="1" x14ac:dyDescent="0.2">
      <c r="A40" s="97"/>
      <c r="F40" s="3"/>
      <c r="G40" s="3"/>
      <c r="H40" s="3"/>
      <c r="I40" s="3"/>
      <c r="J40" s="3"/>
      <c r="K40" s="3"/>
    </row>
    <row r="41" spans="1:19" ht="20.25" customHeight="1" x14ac:dyDescent="0.2">
      <c r="B41" s="96" t="s">
        <v>773</v>
      </c>
      <c r="C41" s="86"/>
      <c r="D41" s="86"/>
      <c r="E41" s="86"/>
    </row>
    <row r="43" spans="1:19" ht="20.25" customHeight="1" x14ac:dyDescent="0.2">
      <c r="B43" s="2" t="s">
        <v>708</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102"/>
  <sheetViews>
    <sheetView view="pageBreakPreview" topLeftCell="A52" zoomScale="70" zoomScaleNormal="75" zoomScaleSheetLayoutView="70" workbookViewId="0">
      <selection activeCell="Y34" sqref="Y34"/>
    </sheetView>
  </sheetViews>
  <sheetFormatPr defaultColWidth="9" defaultRowHeight="20.25" customHeight="1" x14ac:dyDescent="0.2"/>
  <cols>
    <col min="1" max="2" width="4.21875" style="110" customWidth="1"/>
    <col min="3" max="3" width="25" style="108" customWidth="1"/>
    <col min="4" max="4" width="4.88671875" style="108" customWidth="1"/>
    <col min="5" max="5" width="41.6640625" style="108" customWidth="1"/>
    <col min="6" max="6" width="4.88671875" style="108" customWidth="1"/>
    <col min="7" max="7" width="19.6640625" style="108" customWidth="1"/>
    <col min="8" max="8" width="38.88671875" style="108" customWidth="1"/>
    <col min="9" max="21" width="4.88671875" style="108" customWidth="1"/>
    <col min="22" max="22" width="7.77734375" style="108" customWidth="1"/>
    <col min="23" max="32" width="4.88671875" style="108" customWidth="1"/>
    <col min="33" max="42" width="0" style="108" hidden="1" customWidth="1"/>
    <col min="43" max="16384" width="9" style="108"/>
  </cols>
  <sheetData>
    <row r="2" spans="1:38" ht="20.25" customHeight="1" x14ac:dyDescent="0.2">
      <c r="A2" s="288" t="s">
        <v>785</v>
      </c>
      <c r="B2" s="288"/>
    </row>
    <row r="3" spans="1:38" ht="20.25" customHeight="1" x14ac:dyDescent="0.2">
      <c r="A3" s="681" t="s">
        <v>621</v>
      </c>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row>
    <row r="5" spans="1:38" s="343" customFormat="1" ht="30" customHeight="1" x14ac:dyDescent="0.2">
      <c r="A5" s="685" t="s">
        <v>787</v>
      </c>
      <c r="B5" s="686"/>
      <c r="C5" s="686"/>
      <c r="D5" s="686"/>
      <c r="E5" s="687"/>
      <c r="F5" s="685" t="s">
        <v>788</v>
      </c>
      <c r="G5" s="686"/>
      <c r="H5" s="686"/>
      <c r="I5" s="686"/>
      <c r="J5" s="687"/>
      <c r="K5" s="688" t="s">
        <v>789</v>
      </c>
      <c r="L5" s="689"/>
      <c r="M5" s="689"/>
      <c r="N5" s="689"/>
      <c r="O5" s="689"/>
      <c r="P5" s="689"/>
      <c r="Q5" s="689"/>
      <c r="R5" s="690"/>
      <c r="S5" s="682" t="s">
        <v>84</v>
      </c>
      <c r="T5" s="683"/>
      <c r="U5" s="683"/>
      <c r="V5" s="684"/>
      <c r="W5" s="112"/>
      <c r="X5" s="113"/>
      <c r="Y5" s="113"/>
      <c r="Z5" s="113"/>
      <c r="AA5" s="113"/>
      <c r="AB5" s="113"/>
      <c r="AC5" s="113"/>
      <c r="AD5" s="113"/>
      <c r="AE5" s="113"/>
      <c r="AF5" s="114"/>
      <c r="AG5" s="109" t="str">
        <f>"kaigo_num='" &amp;W5&amp;X5&amp;Y5&amp;Z5&amp;AA5&amp;AB5&amp;AC5&amp;AD5&amp;AE5&amp;AF5&amp; "'"</f>
        <v>kaigo_num=''</v>
      </c>
      <c r="AH5" s="109"/>
      <c r="AI5" s="109"/>
      <c r="AJ5" s="109"/>
      <c r="AK5" s="109"/>
      <c r="AL5" s="109"/>
    </row>
    <row r="7" spans="1:38" ht="17.25" customHeight="1" x14ac:dyDescent="0.2">
      <c r="A7" s="682" t="s">
        <v>85</v>
      </c>
      <c r="B7" s="683"/>
      <c r="C7" s="684"/>
      <c r="D7" s="682" t="s">
        <v>1</v>
      </c>
      <c r="E7" s="684"/>
      <c r="F7" s="682" t="s">
        <v>86</v>
      </c>
      <c r="G7" s="684"/>
      <c r="H7" s="682" t="s">
        <v>473</v>
      </c>
      <c r="I7" s="683"/>
      <c r="J7" s="683"/>
      <c r="K7" s="683"/>
      <c r="L7" s="683"/>
      <c r="M7" s="683"/>
      <c r="N7" s="683"/>
      <c r="O7" s="683"/>
      <c r="P7" s="683"/>
      <c r="Q7" s="683"/>
      <c r="R7" s="683"/>
      <c r="S7" s="683"/>
      <c r="T7" s="683"/>
      <c r="U7" s="683"/>
      <c r="V7" s="683"/>
      <c r="W7" s="683"/>
      <c r="X7" s="684"/>
      <c r="Y7" s="682" t="s">
        <v>227</v>
      </c>
      <c r="Z7" s="683"/>
      <c r="AA7" s="683"/>
      <c r="AB7" s="684"/>
      <c r="AC7" s="682" t="s">
        <v>87</v>
      </c>
      <c r="AD7" s="683"/>
      <c r="AE7" s="683"/>
      <c r="AF7" s="684"/>
    </row>
    <row r="8" spans="1:38" ht="18.75" customHeight="1" x14ac:dyDescent="0.2">
      <c r="A8" s="129"/>
      <c r="B8" s="116"/>
      <c r="C8" s="130"/>
      <c r="D8" s="131"/>
      <c r="E8" s="133"/>
      <c r="F8" s="115"/>
      <c r="G8" s="133"/>
      <c r="H8" s="234" t="s">
        <v>623</v>
      </c>
      <c r="I8" s="196" t="s">
        <v>383</v>
      </c>
      <c r="J8" s="169" t="s">
        <v>395</v>
      </c>
      <c r="K8" s="179"/>
      <c r="L8" s="169"/>
      <c r="M8" s="118" t="s">
        <v>383</v>
      </c>
      <c r="N8" s="169" t="s">
        <v>431</v>
      </c>
      <c r="O8" s="169"/>
      <c r="P8" s="169"/>
      <c r="Q8" s="169"/>
      <c r="R8" s="169"/>
      <c r="S8" s="169"/>
      <c r="T8" s="169"/>
      <c r="U8" s="169"/>
      <c r="V8" s="169"/>
      <c r="W8" s="169"/>
      <c r="X8" s="170"/>
      <c r="Y8" s="138" t="s">
        <v>383</v>
      </c>
      <c r="Z8" s="119" t="s">
        <v>249</v>
      </c>
      <c r="AA8" s="119"/>
      <c r="AB8" s="137"/>
      <c r="AC8" s="138" t="s">
        <v>383</v>
      </c>
      <c r="AD8" s="119" t="s">
        <v>249</v>
      </c>
      <c r="AE8" s="119"/>
      <c r="AF8" s="137"/>
      <c r="AG8" s="109" t="str">
        <f>"ser_code = '" &amp; IF(A15="■","A2","") &amp; "'"</f>
        <v>ser_code = ''</v>
      </c>
      <c r="AI8" s="109" t="str">
        <f>"A2:field223:" &amp; IF(I8="■",1,IF(M8="■",2,0))</f>
        <v>A2:field223:0</v>
      </c>
      <c r="AJ8" s="109" t="str">
        <f>"A2:field203:" &amp; IF(Y8="■",1,IF(Y9="■",2,0))</f>
        <v>A2:field203:0</v>
      </c>
      <c r="AK8" s="109" t="str">
        <f>"A2:waribiki_code:" &amp; IF(AC8="■",1,IF(AC9="■",2,0))</f>
        <v>A2:waribiki_code:0</v>
      </c>
    </row>
    <row r="9" spans="1:38" s="109" customFormat="1" ht="19.5" customHeight="1" x14ac:dyDescent="0.2">
      <c r="A9" s="139"/>
      <c r="B9" s="123"/>
      <c r="C9" s="140"/>
      <c r="D9" s="141"/>
      <c r="E9" s="128"/>
      <c r="F9" s="142"/>
      <c r="G9" s="143"/>
      <c r="H9" s="348" t="s">
        <v>448</v>
      </c>
      <c r="I9" s="349" t="s">
        <v>383</v>
      </c>
      <c r="J9" s="350" t="s">
        <v>395</v>
      </c>
      <c r="K9" s="351"/>
      <c r="L9" s="352"/>
      <c r="M9" s="353" t="s">
        <v>383</v>
      </c>
      <c r="N9" s="350" t="s">
        <v>431</v>
      </c>
      <c r="O9" s="354"/>
      <c r="P9" s="350"/>
      <c r="Q9" s="355"/>
      <c r="R9" s="355"/>
      <c r="S9" s="355"/>
      <c r="T9" s="355"/>
      <c r="U9" s="355"/>
      <c r="V9" s="355"/>
      <c r="W9" s="355"/>
      <c r="X9" s="356"/>
      <c r="Y9" s="118" t="s">
        <v>383</v>
      </c>
      <c r="Z9" s="126" t="s">
        <v>255</v>
      </c>
      <c r="AA9" s="147"/>
      <c r="AB9" s="148"/>
      <c r="AC9" s="118" t="s">
        <v>383</v>
      </c>
      <c r="AD9" s="126" t="s">
        <v>255</v>
      </c>
      <c r="AE9" s="147"/>
      <c r="AF9" s="102"/>
      <c r="AI9" s="109" t="str">
        <f>"76:field232:" &amp; IF(I9="■",1,IF(M9="■",2,0))</f>
        <v>76:field232:0</v>
      </c>
    </row>
    <row r="10" spans="1:38" ht="18.75" customHeight="1" x14ac:dyDescent="0.2">
      <c r="A10" s="139"/>
      <c r="B10" s="123"/>
      <c r="C10" s="140"/>
      <c r="D10" s="141"/>
      <c r="E10" s="143"/>
      <c r="F10" s="122"/>
      <c r="G10" s="143"/>
      <c r="H10" s="743" t="s">
        <v>456</v>
      </c>
      <c r="I10" s="804" t="s">
        <v>383</v>
      </c>
      <c r="J10" s="796" t="s">
        <v>624</v>
      </c>
      <c r="K10" s="796"/>
      <c r="L10" s="796"/>
      <c r="M10" s="797" t="s">
        <v>383</v>
      </c>
      <c r="N10" s="796" t="s">
        <v>625</v>
      </c>
      <c r="O10" s="796"/>
      <c r="P10" s="796"/>
      <c r="Q10" s="798"/>
      <c r="R10" s="798"/>
      <c r="S10" s="798"/>
      <c r="T10" s="798"/>
      <c r="U10" s="409"/>
      <c r="V10" s="409"/>
      <c r="W10" s="409"/>
      <c r="X10" s="543"/>
      <c r="Y10" s="330"/>
      <c r="Z10" s="126"/>
      <c r="AA10" s="126"/>
      <c r="AB10" s="148"/>
      <c r="AC10" s="330"/>
      <c r="AD10" s="126"/>
      <c r="AE10" s="126"/>
      <c r="AF10" s="148"/>
      <c r="AI10" s="109" t="str">
        <f>"A2:field233:" &amp; IF(I10="■",1,IF(M10="■",2,0))</f>
        <v>A2:field233:0</v>
      </c>
    </row>
    <row r="11" spans="1:38" ht="18.75" customHeight="1" x14ac:dyDescent="0.2">
      <c r="A11" s="139"/>
      <c r="B11" s="123"/>
      <c r="C11" s="140"/>
      <c r="D11" s="141"/>
      <c r="E11" s="143"/>
      <c r="F11" s="122"/>
      <c r="G11" s="143"/>
      <c r="H11" s="744"/>
      <c r="I11" s="805"/>
      <c r="J11" s="795"/>
      <c r="K11" s="795"/>
      <c r="L11" s="795"/>
      <c r="M11" s="793"/>
      <c r="N11" s="795"/>
      <c r="O11" s="795"/>
      <c r="P11" s="795"/>
      <c r="Q11" s="799"/>
      <c r="R11" s="799"/>
      <c r="S11" s="799"/>
      <c r="T11" s="799"/>
      <c r="U11" s="381"/>
      <c r="V11" s="381"/>
      <c r="W11" s="381"/>
      <c r="X11" s="442"/>
      <c r="Y11" s="330"/>
      <c r="Z11" s="126"/>
      <c r="AA11" s="126"/>
      <c r="AB11" s="148"/>
      <c r="AC11" s="330"/>
      <c r="AD11" s="126"/>
      <c r="AE11" s="126"/>
      <c r="AF11" s="148"/>
      <c r="AI11" s="109"/>
    </row>
    <row r="12" spans="1:38" ht="18.75" customHeight="1" x14ac:dyDescent="0.2">
      <c r="A12" s="139"/>
      <c r="B12" s="123"/>
      <c r="C12" s="140"/>
      <c r="D12" s="141"/>
      <c r="E12" s="143"/>
      <c r="F12" s="122"/>
      <c r="G12" s="143"/>
      <c r="H12" s="743" t="s">
        <v>626</v>
      </c>
      <c r="I12" s="804" t="s">
        <v>383</v>
      </c>
      <c r="J12" s="796" t="s">
        <v>624</v>
      </c>
      <c r="K12" s="796"/>
      <c r="L12" s="796"/>
      <c r="M12" s="797" t="s">
        <v>383</v>
      </c>
      <c r="N12" s="796" t="s">
        <v>625</v>
      </c>
      <c r="O12" s="796"/>
      <c r="P12" s="796"/>
      <c r="Q12" s="798"/>
      <c r="R12" s="798"/>
      <c r="S12" s="798"/>
      <c r="T12" s="798"/>
      <c r="U12" s="409"/>
      <c r="V12" s="409"/>
      <c r="W12" s="409"/>
      <c r="X12" s="543"/>
      <c r="Y12" s="330"/>
      <c r="Z12" s="126"/>
      <c r="AA12" s="126"/>
      <c r="AB12" s="148"/>
      <c r="AC12" s="330"/>
      <c r="AD12" s="126"/>
      <c r="AE12" s="126"/>
      <c r="AF12" s="148"/>
      <c r="AI12" s="109" t="str">
        <f>"A2:field234:" &amp; IF(I12="■",1,IF(M12="■",2,0))</f>
        <v>A2:field234:0</v>
      </c>
    </row>
    <row r="13" spans="1:38" ht="18.75" customHeight="1" x14ac:dyDescent="0.2">
      <c r="A13" s="139"/>
      <c r="B13" s="123"/>
      <c r="C13" s="140"/>
      <c r="D13" s="141"/>
      <c r="E13" s="143"/>
      <c r="F13" s="122"/>
      <c r="G13" s="143"/>
      <c r="H13" s="744"/>
      <c r="I13" s="805"/>
      <c r="J13" s="795"/>
      <c r="K13" s="795"/>
      <c r="L13" s="795"/>
      <c r="M13" s="793"/>
      <c r="N13" s="795"/>
      <c r="O13" s="795"/>
      <c r="P13" s="795"/>
      <c r="Q13" s="799"/>
      <c r="R13" s="799"/>
      <c r="S13" s="799"/>
      <c r="T13" s="799"/>
      <c r="U13" s="381"/>
      <c r="V13" s="381"/>
      <c r="W13" s="381"/>
      <c r="X13" s="442"/>
      <c r="Y13" s="330"/>
      <c r="Z13" s="126"/>
      <c r="AA13" s="126"/>
      <c r="AB13" s="148"/>
      <c r="AC13" s="330"/>
      <c r="AD13" s="126"/>
      <c r="AE13" s="126"/>
      <c r="AF13" s="148"/>
      <c r="AI13" s="109"/>
    </row>
    <row r="14" spans="1:38" ht="18.75" customHeight="1" x14ac:dyDescent="0.2">
      <c r="A14" s="139"/>
      <c r="B14" s="123"/>
      <c r="C14" s="140"/>
      <c r="D14" s="141"/>
      <c r="E14" s="143"/>
      <c r="F14" s="122"/>
      <c r="G14" s="143"/>
      <c r="H14" s="743" t="s">
        <v>458</v>
      </c>
      <c r="I14" s="804" t="s">
        <v>383</v>
      </c>
      <c r="J14" s="796" t="s">
        <v>624</v>
      </c>
      <c r="K14" s="796"/>
      <c r="L14" s="796"/>
      <c r="M14" s="797" t="s">
        <v>383</v>
      </c>
      <c r="N14" s="796" t="s">
        <v>625</v>
      </c>
      <c r="O14" s="796"/>
      <c r="P14" s="796"/>
      <c r="Q14" s="798"/>
      <c r="R14" s="798"/>
      <c r="S14" s="798"/>
      <c r="T14" s="798"/>
      <c r="U14" s="409"/>
      <c r="V14" s="409"/>
      <c r="W14" s="409"/>
      <c r="X14" s="543"/>
      <c r="Y14" s="330"/>
      <c r="Z14" s="126"/>
      <c r="AA14" s="126"/>
      <c r="AB14" s="148"/>
      <c r="AC14" s="330"/>
      <c r="AD14" s="126"/>
      <c r="AE14" s="126"/>
      <c r="AF14" s="148"/>
      <c r="AI14" s="109" t="str">
        <f>"A2:field235:" &amp; IF(I14="■",1,IF(M14="■",2,0))</f>
        <v>A2:field235:0</v>
      </c>
    </row>
    <row r="15" spans="1:38" ht="18.75" customHeight="1" x14ac:dyDescent="0.2">
      <c r="A15" s="125" t="s">
        <v>383</v>
      </c>
      <c r="B15" s="123" t="s">
        <v>628</v>
      </c>
      <c r="C15" s="140" t="s">
        <v>629</v>
      </c>
      <c r="D15" s="141"/>
      <c r="E15" s="143"/>
      <c r="F15" s="122"/>
      <c r="G15" s="143"/>
      <c r="H15" s="744"/>
      <c r="I15" s="805"/>
      <c r="J15" s="795"/>
      <c r="K15" s="795"/>
      <c r="L15" s="795"/>
      <c r="M15" s="793"/>
      <c r="N15" s="795"/>
      <c r="O15" s="795"/>
      <c r="P15" s="795"/>
      <c r="Q15" s="799"/>
      <c r="R15" s="799"/>
      <c r="S15" s="799"/>
      <c r="T15" s="799"/>
      <c r="U15" s="381"/>
      <c r="V15" s="381"/>
      <c r="W15" s="381"/>
      <c r="X15" s="543"/>
      <c r="Y15" s="330"/>
      <c r="Z15" s="126"/>
      <c r="AA15" s="126"/>
      <c r="AB15" s="148"/>
      <c r="AC15" s="330"/>
      <c r="AD15" s="126"/>
      <c r="AE15" s="126"/>
      <c r="AF15" s="148"/>
    </row>
    <row r="16" spans="1:38" ht="18.75" customHeight="1" x14ac:dyDescent="0.2">
      <c r="A16" s="139"/>
      <c r="B16" s="123"/>
      <c r="C16" s="140"/>
      <c r="D16" s="141"/>
      <c r="E16" s="143"/>
      <c r="F16" s="122"/>
      <c r="G16" s="143"/>
      <c r="H16" s="348" t="s">
        <v>135</v>
      </c>
      <c r="I16" s="349" t="s">
        <v>781</v>
      </c>
      <c r="J16" s="381" t="s">
        <v>627</v>
      </c>
      <c r="K16" s="419"/>
      <c r="L16" s="522" t="s">
        <v>383</v>
      </c>
      <c r="M16" s="358" t="s">
        <v>267</v>
      </c>
      <c r="N16" s="350"/>
      <c r="O16" s="409"/>
      <c r="P16" s="409"/>
      <c r="Q16" s="409"/>
      <c r="R16" s="409"/>
      <c r="S16" s="409"/>
      <c r="T16" s="409"/>
      <c r="U16" s="409"/>
      <c r="V16" s="409"/>
      <c r="W16" s="409"/>
      <c r="X16" s="459"/>
      <c r="Y16" s="330"/>
      <c r="Z16" s="126"/>
      <c r="AA16" s="126"/>
      <c r="AB16" s="148"/>
      <c r="AC16" s="330"/>
      <c r="AD16" s="126"/>
      <c r="AE16" s="126"/>
      <c r="AF16" s="148"/>
      <c r="AI16" s="109" t="str">
        <f>"A2:tokutiiki_code:" &amp; IF(I16="■",1,IF(L16="■",2,0))</f>
        <v>A2:tokutiiki_code:1</v>
      </c>
    </row>
    <row r="17" spans="1:37" ht="18.75" customHeight="1" x14ac:dyDescent="0.2">
      <c r="A17" s="139"/>
      <c r="B17" s="123"/>
      <c r="C17" s="140"/>
      <c r="D17" s="141"/>
      <c r="E17" s="143"/>
      <c r="F17" s="122"/>
      <c r="G17" s="143"/>
      <c r="H17" s="743" t="s">
        <v>209</v>
      </c>
      <c r="I17" s="806" t="s">
        <v>781</v>
      </c>
      <c r="J17" s="796" t="s">
        <v>624</v>
      </c>
      <c r="K17" s="796"/>
      <c r="L17" s="796"/>
      <c r="M17" s="806" t="s">
        <v>383</v>
      </c>
      <c r="N17" s="796" t="s">
        <v>625</v>
      </c>
      <c r="O17" s="796"/>
      <c r="P17" s="796"/>
      <c r="Q17" s="438"/>
      <c r="R17" s="438"/>
      <c r="S17" s="438"/>
      <c r="T17" s="438"/>
      <c r="U17" s="438"/>
      <c r="V17" s="438"/>
      <c r="W17" s="438"/>
      <c r="X17" s="507"/>
      <c r="Y17" s="330"/>
      <c r="Z17" s="126"/>
      <c r="AA17" s="147"/>
      <c r="AB17" s="148"/>
      <c r="AC17" s="330"/>
      <c r="AD17" s="126"/>
      <c r="AE17" s="147"/>
      <c r="AF17" s="148"/>
      <c r="AI17" s="109" t="str">
        <f>"A2:chuusankanti_tiiki_code:" &amp; IF(I17="■",1,IF(M17="■",2,0))</f>
        <v>A2:chuusankanti_tiiki_code:1</v>
      </c>
    </row>
    <row r="18" spans="1:37" ht="18.75" customHeight="1" x14ac:dyDescent="0.2">
      <c r="A18" s="139"/>
      <c r="B18" s="123"/>
      <c r="C18" s="140"/>
      <c r="D18" s="141"/>
      <c r="E18" s="143"/>
      <c r="F18" s="122"/>
      <c r="G18" s="143"/>
      <c r="H18" s="744"/>
      <c r="I18" s="807"/>
      <c r="J18" s="795"/>
      <c r="K18" s="795"/>
      <c r="L18" s="795"/>
      <c r="M18" s="807"/>
      <c r="N18" s="795"/>
      <c r="O18" s="795"/>
      <c r="P18" s="795"/>
      <c r="Q18" s="436"/>
      <c r="R18" s="436"/>
      <c r="S18" s="436"/>
      <c r="T18" s="436"/>
      <c r="U18" s="436"/>
      <c r="V18" s="436"/>
      <c r="W18" s="436"/>
      <c r="X18" s="437"/>
      <c r="Y18" s="330"/>
      <c r="Z18" s="331"/>
      <c r="AA18" s="331"/>
      <c r="AB18" s="332"/>
      <c r="AC18" s="330"/>
      <c r="AD18" s="331"/>
      <c r="AE18" s="331"/>
      <c r="AF18" s="332"/>
      <c r="AI18" s="109"/>
    </row>
    <row r="19" spans="1:37" ht="18.75" customHeight="1" x14ac:dyDescent="0.2">
      <c r="A19" s="122"/>
      <c r="C19" s="140"/>
      <c r="D19" s="141"/>
      <c r="E19" s="143"/>
      <c r="F19" s="122"/>
      <c r="G19" s="143"/>
      <c r="H19" s="743" t="s">
        <v>210</v>
      </c>
      <c r="I19" s="806" t="s">
        <v>781</v>
      </c>
      <c r="J19" s="796" t="s">
        <v>624</v>
      </c>
      <c r="K19" s="796"/>
      <c r="L19" s="796"/>
      <c r="M19" s="806" t="s">
        <v>383</v>
      </c>
      <c r="N19" s="796" t="s">
        <v>625</v>
      </c>
      <c r="O19" s="796"/>
      <c r="P19" s="796"/>
      <c r="Q19" s="438"/>
      <c r="R19" s="438"/>
      <c r="S19" s="438"/>
      <c r="T19" s="438"/>
      <c r="U19" s="438"/>
      <c r="V19" s="438"/>
      <c r="W19" s="438"/>
      <c r="X19" s="507"/>
      <c r="Y19" s="330"/>
      <c r="Z19" s="331"/>
      <c r="AA19" s="331"/>
      <c r="AB19" s="332"/>
      <c r="AC19" s="330"/>
      <c r="AD19" s="331"/>
      <c r="AE19" s="331"/>
      <c r="AF19" s="332"/>
      <c r="AI19" s="109" t="str">
        <f>"A2:chuusankanti_kibo_code:" &amp; IF(I19="■",1,IF(M19="■",2,0))</f>
        <v>A2:chuusankanti_kibo_code:1</v>
      </c>
    </row>
    <row r="20" spans="1:37" ht="18.75" customHeight="1" x14ac:dyDescent="0.2">
      <c r="A20" s="139"/>
      <c r="B20" s="123"/>
      <c r="C20" s="140"/>
      <c r="D20" s="141"/>
      <c r="E20" s="143"/>
      <c r="F20" s="122"/>
      <c r="G20" s="143"/>
      <c r="H20" s="744"/>
      <c r="I20" s="807"/>
      <c r="J20" s="795"/>
      <c r="K20" s="795"/>
      <c r="L20" s="795"/>
      <c r="M20" s="807"/>
      <c r="N20" s="795"/>
      <c r="O20" s="795"/>
      <c r="P20" s="795"/>
      <c r="Q20" s="436"/>
      <c r="R20" s="436"/>
      <c r="S20" s="436"/>
      <c r="T20" s="436"/>
      <c r="U20" s="436"/>
      <c r="V20" s="436"/>
      <c r="W20" s="436"/>
      <c r="X20" s="437"/>
      <c r="Y20" s="330"/>
      <c r="Z20" s="331"/>
      <c r="AA20" s="331"/>
      <c r="AB20" s="332"/>
      <c r="AC20" s="330"/>
      <c r="AD20" s="331"/>
      <c r="AE20" s="331"/>
      <c r="AF20" s="332"/>
    </row>
    <row r="21" spans="1:37" ht="18.75" customHeight="1" x14ac:dyDescent="0.2">
      <c r="A21" s="139"/>
      <c r="B21" s="123"/>
      <c r="C21" s="140"/>
      <c r="D21" s="141"/>
      <c r="E21" s="143"/>
      <c r="F21" s="122"/>
      <c r="G21" s="143"/>
      <c r="H21" s="348" t="s">
        <v>433</v>
      </c>
      <c r="I21" s="349" t="s">
        <v>383</v>
      </c>
      <c r="J21" s="350" t="s">
        <v>250</v>
      </c>
      <c r="K21" s="350"/>
      <c r="L21" s="353" t="s">
        <v>383</v>
      </c>
      <c r="M21" s="350" t="s">
        <v>267</v>
      </c>
      <c r="N21" s="350"/>
      <c r="O21" s="355"/>
      <c r="P21" s="350"/>
      <c r="Q21" s="436"/>
      <c r="R21" s="436"/>
      <c r="S21" s="436"/>
      <c r="T21" s="436"/>
      <c r="U21" s="436"/>
      <c r="V21" s="436"/>
      <c r="W21" s="436"/>
      <c r="X21" s="437"/>
      <c r="Y21" s="330"/>
      <c r="Z21" s="331"/>
      <c r="AA21" s="331"/>
      <c r="AB21" s="332"/>
      <c r="AC21" s="330"/>
      <c r="AD21" s="331"/>
      <c r="AE21" s="331"/>
      <c r="AF21" s="332"/>
      <c r="AI21" s="109" t="str">
        <f>"A2:field224:" &amp; IF(I21="■",1,IF(L21="■",2,0))</f>
        <v>A2:field224:0</v>
      </c>
    </row>
    <row r="22" spans="1:37" s="621" customFormat="1" ht="18" customHeight="1" x14ac:dyDescent="0.2">
      <c r="A22" s="139"/>
      <c r="B22" s="670"/>
      <c r="C22" s="140"/>
      <c r="D22" s="141"/>
      <c r="E22" s="128"/>
      <c r="F22" s="142"/>
      <c r="G22" s="143"/>
      <c r="H22" s="713" t="s">
        <v>790</v>
      </c>
      <c r="I22" s="642" t="s">
        <v>383</v>
      </c>
      <c r="J22" s="616" t="s">
        <v>627</v>
      </c>
      <c r="K22" s="616"/>
      <c r="L22" s="615"/>
      <c r="M22" s="644" t="s">
        <v>383</v>
      </c>
      <c r="N22" s="616" t="s">
        <v>791</v>
      </c>
      <c r="O22" s="617"/>
      <c r="P22" s="615"/>
      <c r="Q22" s="1020" t="s">
        <v>383</v>
      </c>
      <c r="R22" s="618" t="s">
        <v>792</v>
      </c>
      <c r="S22" s="615"/>
      <c r="T22" s="615"/>
      <c r="U22" s="615"/>
      <c r="V22" s="618"/>
      <c r="W22" s="619"/>
      <c r="X22" s="620"/>
      <c r="Y22" s="147"/>
      <c r="Z22" s="147"/>
      <c r="AA22" s="147"/>
      <c r="AB22" s="148"/>
      <c r="AC22" s="154"/>
      <c r="AD22" s="147"/>
      <c r="AE22" s="147"/>
      <c r="AF22" s="148"/>
    </row>
    <row r="23" spans="1:37" s="621" customFormat="1" ht="18.75" customHeight="1" x14ac:dyDescent="0.2">
      <c r="A23" s="139"/>
      <c r="B23" s="670"/>
      <c r="C23" s="140"/>
      <c r="D23" s="141"/>
      <c r="E23" s="128"/>
      <c r="F23" s="142"/>
      <c r="G23" s="143"/>
      <c r="H23" s="1002"/>
      <c r="I23" s="664" t="s">
        <v>383</v>
      </c>
      <c r="J23" s="987" t="s">
        <v>793</v>
      </c>
      <c r="K23" s="987"/>
      <c r="L23" s="1003"/>
      <c r="M23" s="629" t="s">
        <v>383</v>
      </c>
      <c r="N23" s="987" t="s">
        <v>794</v>
      </c>
      <c r="O23" s="1004"/>
      <c r="P23" s="1003"/>
      <c r="Q23" s="1021" t="s">
        <v>383</v>
      </c>
      <c r="R23" s="987" t="s">
        <v>795</v>
      </c>
      <c r="S23" s="1003"/>
      <c r="T23" s="987"/>
      <c r="U23" s="1021" t="s">
        <v>383</v>
      </c>
      <c r="V23" s="987" t="s">
        <v>796</v>
      </c>
      <c r="W23" s="1005"/>
      <c r="X23" s="1006"/>
      <c r="Y23" s="147"/>
      <c r="Z23" s="147"/>
      <c r="AA23" s="147"/>
      <c r="AB23" s="148"/>
      <c r="AC23" s="154"/>
      <c r="AD23" s="147"/>
      <c r="AE23" s="147"/>
      <c r="AF23" s="148"/>
    </row>
    <row r="24" spans="1:37" ht="18.75" customHeight="1" x14ac:dyDescent="0.2">
      <c r="A24" s="129"/>
      <c r="B24" s="656"/>
      <c r="C24" s="130"/>
      <c r="D24" s="131"/>
      <c r="E24" s="133"/>
      <c r="F24" s="655"/>
      <c r="G24" s="137"/>
      <c r="H24" s="671" t="s">
        <v>93</v>
      </c>
      <c r="I24" s="367" t="s">
        <v>383</v>
      </c>
      <c r="J24" s="368" t="s">
        <v>250</v>
      </c>
      <c r="K24" s="368"/>
      <c r="L24" s="370"/>
      <c r="M24" s="1019" t="s">
        <v>383</v>
      </c>
      <c r="N24" s="368" t="s">
        <v>281</v>
      </c>
      <c r="O24" s="368"/>
      <c r="P24" s="370"/>
      <c r="Q24" s="371" t="s">
        <v>383</v>
      </c>
      <c r="R24" s="457" t="s">
        <v>282</v>
      </c>
      <c r="S24" s="457"/>
      <c r="T24" s="457"/>
      <c r="U24" s="457"/>
      <c r="V24" s="457"/>
      <c r="W24" s="457"/>
      <c r="X24" s="560"/>
      <c r="Y24" s="663" t="s">
        <v>383</v>
      </c>
      <c r="Z24" s="119" t="s">
        <v>249</v>
      </c>
      <c r="AA24" s="119"/>
      <c r="AB24" s="137"/>
      <c r="AC24" s="663" t="s">
        <v>383</v>
      </c>
      <c r="AD24" s="119" t="s">
        <v>249</v>
      </c>
      <c r="AE24" s="119"/>
      <c r="AF24" s="137"/>
      <c r="AG24" s="109" t="str">
        <f>"ser_code = '" &amp; IF(A29="■","A6","") &amp; "'"</f>
        <v>ser_code = ''</v>
      </c>
      <c r="AH24" s="109"/>
      <c r="AI24" s="109" t="str">
        <f>"A6:"&amp;IF(AND(I24="□",M24="□",Q24="□"),"ketu_kangos_code:0",IF(I24="■","ketu_kangos_code:1:ketu_kshoku_code:1",IF(M24="■","ketu_kangos_code:2","ketu_kangos_code:1")&amp;IF(Q24="■",":ketu_kshoku_code:2",":ketu_kshoku_code:1")))</f>
        <v>A6:ketu_kangos_code:0</v>
      </c>
      <c r="AJ24" s="109" t="str">
        <f>"A6:field203:" &amp; IF(Y24="■",1,IF(Y25="■",2,0))</f>
        <v>A6:field203:0</v>
      </c>
      <c r="AK24" s="109" t="str">
        <f>"A6:waribiki_code:" &amp; IF(AC24="■",1,IF(AC25="■",2,0))</f>
        <v>A6:waribiki_code:0</v>
      </c>
    </row>
    <row r="25" spans="1:37" ht="18.75" customHeight="1" x14ac:dyDescent="0.2">
      <c r="A25" s="139"/>
      <c r="B25" s="670"/>
      <c r="C25" s="140"/>
      <c r="D25" s="141"/>
      <c r="E25" s="143"/>
      <c r="F25" s="669"/>
      <c r="G25" s="148"/>
      <c r="H25" s="648" t="s">
        <v>623</v>
      </c>
      <c r="I25" s="1017" t="s">
        <v>383</v>
      </c>
      <c r="J25" s="984" t="s">
        <v>395</v>
      </c>
      <c r="K25" s="984"/>
      <c r="L25" s="1018"/>
      <c r="M25" s="1017" t="s">
        <v>383</v>
      </c>
      <c r="N25" s="984" t="s">
        <v>431</v>
      </c>
      <c r="O25" s="984"/>
      <c r="P25" s="407"/>
      <c r="Q25" s="647"/>
      <c r="R25" s="430"/>
      <c r="S25" s="647"/>
      <c r="T25" s="647"/>
      <c r="U25" s="647"/>
      <c r="V25" s="647"/>
      <c r="W25" s="647"/>
      <c r="X25" s="662"/>
      <c r="Y25" s="664" t="s">
        <v>383</v>
      </c>
      <c r="Z25" s="614" t="s">
        <v>255</v>
      </c>
      <c r="AA25" s="627"/>
      <c r="AB25" s="148"/>
      <c r="AC25" s="664" t="s">
        <v>383</v>
      </c>
      <c r="AD25" s="614" t="s">
        <v>255</v>
      </c>
      <c r="AE25" s="627"/>
      <c r="AF25" s="148"/>
      <c r="AI25" s="109" t="str">
        <f>"A6:field223:" &amp; IF(I25="■",1,IF(M25="■",2,0))</f>
        <v>A6:field223:0</v>
      </c>
    </row>
    <row r="26" spans="1:37" ht="18.75" customHeight="1" x14ac:dyDescent="0.2">
      <c r="A26" s="139"/>
      <c r="B26" s="670"/>
      <c r="C26" s="140"/>
      <c r="D26" s="141"/>
      <c r="E26" s="143"/>
      <c r="F26" s="669"/>
      <c r="G26" s="148"/>
      <c r="H26" s="422" t="s">
        <v>448</v>
      </c>
      <c r="I26" s="406" t="s">
        <v>383</v>
      </c>
      <c r="J26" s="345" t="s">
        <v>395</v>
      </c>
      <c r="K26" s="362"/>
      <c r="L26" s="407"/>
      <c r="M26" s="408" t="s">
        <v>383</v>
      </c>
      <c r="N26" s="345" t="s">
        <v>431</v>
      </c>
      <c r="O26" s="647"/>
      <c r="P26" s="1018"/>
      <c r="Q26" s="647"/>
      <c r="R26" s="1015"/>
      <c r="S26" s="647"/>
      <c r="T26" s="647"/>
      <c r="U26" s="647"/>
      <c r="V26" s="647"/>
      <c r="W26" s="647"/>
      <c r="X26" s="662"/>
      <c r="Y26" s="638"/>
      <c r="Z26" s="614"/>
      <c r="AA26" s="614"/>
      <c r="AB26" s="148"/>
      <c r="AC26" s="154"/>
      <c r="AD26" s="614"/>
      <c r="AE26" s="614"/>
      <c r="AF26" s="148"/>
      <c r="AI26" s="109" t="str">
        <f>"A6:field232:" &amp; IF(I26="■",1,IF(M26="■",2,0))</f>
        <v>A6:field232:0</v>
      </c>
    </row>
    <row r="27" spans="1:37" ht="18.75" customHeight="1" x14ac:dyDescent="0.2">
      <c r="A27" s="139"/>
      <c r="B27" s="670"/>
      <c r="C27" s="140"/>
      <c r="D27" s="141"/>
      <c r="E27" s="143"/>
      <c r="F27" s="669"/>
      <c r="G27" s="148"/>
      <c r="H27" s="405" t="s">
        <v>486</v>
      </c>
      <c r="I27" s="661" t="s">
        <v>383</v>
      </c>
      <c r="J27" s="345" t="s">
        <v>250</v>
      </c>
      <c r="K27" s="362"/>
      <c r="L27" s="408" t="s">
        <v>383</v>
      </c>
      <c r="M27" s="345" t="s">
        <v>267</v>
      </c>
      <c r="N27" s="430"/>
      <c r="O27" s="430"/>
      <c r="P27" s="430"/>
      <c r="Q27" s="430"/>
      <c r="R27" s="430"/>
      <c r="S27" s="430"/>
      <c r="T27" s="430"/>
      <c r="U27" s="430"/>
      <c r="V27" s="430"/>
      <c r="W27" s="430"/>
      <c r="X27" s="431"/>
      <c r="Y27" s="638"/>
      <c r="Z27" s="638"/>
      <c r="AA27" s="638"/>
      <c r="AB27" s="638"/>
      <c r="AC27" s="154"/>
      <c r="AD27" s="638"/>
      <c r="AE27" s="638"/>
      <c r="AF27" s="178"/>
      <c r="AI27" s="109" t="str">
        <f>"A6:jyakuninti_uke_code:" &amp; IF(I27="■",1,IF(L27="■",2,0))</f>
        <v>A6:jyakuninti_uke_code:0</v>
      </c>
    </row>
    <row r="28" spans="1:37" ht="18.75" customHeight="1" x14ac:dyDescent="0.2">
      <c r="A28" s="139"/>
      <c r="B28" s="670"/>
      <c r="C28" s="140"/>
      <c r="D28" s="141"/>
      <c r="E28" s="143"/>
      <c r="F28" s="669"/>
      <c r="G28" s="148"/>
      <c r="H28" s="477" t="s">
        <v>630</v>
      </c>
      <c r="I28" s="661" t="s">
        <v>383</v>
      </c>
      <c r="J28" s="345" t="s">
        <v>250</v>
      </c>
      <c r="K28" s="362"/>
      <c r="L28" s="408" t="s">
        <v>383</v>
      </c>
      <c r="M28" s="345" t="s">
        <v>267</v>
      </c>
      <c r="N28" s="430"/>
      <c r="O28" s="430"/>
      <c r="P28" s="430"/>
      <c r="Q28" s="430"/>
      <c r="R28" s="430"/>
      <c r="S28" s="430"/>
      <c r="T28" s="430"/>
      <c r="U28" s="430"/>
      <c r="V28" s="430"/>
      <c r="W28" s="430"/>
      <c r="X28" s="431"/>
      <c r="Y28" s="154"/>
      <c r="Z28" s="627"/>
      <c r="AA28" s="627"/>
      <c r="AB28" s="148"/>
      <c r="AC28" s="154"/>
      <c r="AD28" s="627"/>
      <c r="AE28" s="627"/>
      <c r="AF28" s="148"/>
      <c r="AI28" s="109" t="str">
        <f>"A6:seikatukoujyo_code:" &amp; IF(I28="■",1,IF(L28="■",2,0))</f>
        <v>A6:seikatukoujyo_code:0</v>
      </c>
    </row>
    <row r="29" spans="1:37" ht="18.75" customHeight="1" x14ac:dyDescent="0.2">
      <c r="A29" s="664" t="s">
        <v>383</v>
      </c>
      <c r="B29" s="670" t="s">
        <v>631</v>
      </c>
      <c r="C29" s="140" t="s">
        <v>632</v>
      </c>
      <c r="D29" s="141"/>
      <c r="E29" s="143"/>
      <c r="F29" s="669"/>
      <c r="G29" s="148"/>
      <c r="H29" s="984" t="s">
        <v>236</v>
      </c>
      <c r="I29" s="544" t="s">
        <v>383</v>
      </c>
      <c r="J29" s="345" t="s">
        <v>250</v>
      </c>
      <c r="K29" s="345"/>
      <c r="L29" s="545" t="s">
        <v>383</v>
      </c>
      <c r="M29" s="345" t="s">
        <v>267</v>
      </c>
      <c r="N29" s="430"/>
      <c r="O29" s="430"/>
      <c r="P29" s="430"/>
      <c r="Q29" s="430"/>
      <c r="R29" s="430"/>
      <c r="S29" s="430"/>
      <c r="T29" s="430"/>
      <c r="U29" s="430"/>
      <c r="V29" s="430"/>
      <c r="W29" s="430"/>
      <c r="X29" s="431"/>
      <c r="Y29" s="154"/>
      <c r="Z29" s="627"/>
      <c r="AA29" s="627"/>
      <c r="AB29" s="148"/>
      <c r="AC29" s="154"/>
      <c r="AD29" s="627"/>
      <c r="AE29" s="627"/>
      <c r="AF29" s="148"/>
      <c r="AI29" s="109" t="str">
        <f>"A6:eiyomana_code:" &amp; IF(I29="■",1,IF(L29="■",2,0))</f>
        <v>A6:eiyomana_code:0</v>
      </c>
    </row>
    <row r="30" spans="1:37" ht="18.75" customHeight="1" x14ac:dyDescent="0.2">
      <c r="A30" s="669"/>
      <c r="B30" s="670"/>
      <c r="C30" s="140"/>
      <c r="D30" s="141"/>
      <c r="E30" s="143"/>
      <c r="F30" s="669"/>
      <c r="G30" s="148"/>
      <c r="H30" s="478" t="s">
        <v>205</v>
      </c>
      <c r="I30" s="544" t="s">
        <v>383</v>
      </c>
      <c r="J30" s="345" t="s">
        <v>250</v>
      </c>
      <c r="K30" s="345"/>
      <c r="L30" s="545" t="s">
        <v>383</v>
      </c>
      <c r="M30" s="345" t="s">
        <v>267</v>
      </c>
      <c r="N30" s="430"/>
      <c r="O30" s="430"/>
      <c r="P30" s="430"/>
      <c r="Q30" s="430"/>
      <c r="R30" s="430"/>
      <c r="S30" s="430"/>
      <c r="T30" s="430"/>
      <c r="U30" s="430"/>
      <c r="V30" s="430"/>
      <c r="W30" s="430"/>
      <c r="X30" s="431"/>
      <c r="Y30" s="154"/>
      <c r="Z30" s="627"/>
      <c r="AA30" s="627"/>
      <c r="AB30" s="148"/>
      <c r="AC30" s="154"/>
      <c r="AD30" s="627"/>
      <c r="AE30" s="627"/>
      <c r="AF30" s="148"/>
      <c r="AI30" s="109" t="str">
        <f>"A6:koukoukino_code:" &amp; IF(I30="■",1,IF(L30="■",2,0))</f>
        <v>A6:koukoukino_code:0</v>
      </c>
    </row>
    <row r="31" spans="1:37" ht="18.75" customHeight="1" x14ac:dyDescent="0.2">
      <c r="A31" s="669"/>
      <c r="B31" s="670"/>
      <c r="C31" s="140"/>
      <c r="D31" s="141"/>
      <c r="E31" s="143"/>
      <c r="F31" s="669"/>
      <c r="G31" s="148"/>
      <c r="H31" s="478" t="s">
        <v>633</v>
      </c>
      <c r="I31" s="544" t="s">
        <v>383</v>
      </c>
      <c r="J31" s="345" t="s">
        <v>250</v>
      </c>
      <c r="K31" s="345"/>
      <c r="L31" s="545" t="s">
        <v>383</v>
      </c>
      <c r="M31" s="345" t="s">
        <v>267</v>
      </c>
      <c r="N31" s="430"/>
      <c r="O31" s="430"/>
      <c r="P31" s="430"/>
      <c r="Q31" s="430"/>
      <c r="R31" s="430"/>
      <c r="S31" s="430"/>
      <c r="T31" s="430"/>
      <c r="U31" s="430"/>
      <c r="V31" s="430"/>
      <c r="W31" s="430"/>
      <c r="X31" s="431"/>
      <c r="Y31" s="154"/>
      <c r="Z31" s="627"/>
      <c r="AA31" s="627"/>
      <c r="AB31" s="148"/>
      <c r="AC31" s="154"/>
      <c r="AD31" s="627"/>
      <c r="AE31" s="627"/>
      <c r="AF31" s="148"/>
      <c r="AI31" s="109" t="str">
        <f>"A6:field174:" &amp; IF(I31="■",1,IF(L31="■",2,0))</f>
        <v>A6:field174:0</v>
      </c>
    </row>
    <row r="32" spans="1:37" ht="18.75" customHeight="1" x14ac:dyDescent="0.2">
      <c r="A32" s="139"/>
      <c r="B32" s="670"/>
      <c r="C32" s="140"/>
      <c r="D32" s="141"/>
      <c r="E32" s="143"/>
      <c r="F32" s="669"/>
      <c r="G32" s="148"/>
      <c r="H32" s="405" t="s">
        <v>118</v>
      </c>
      <c r="I32" s="406" t="s">
        <v>383</v>
      </c>
      <c r="J32" s="345" t="s">
        <v>250</v>
      </c>
      <c r="K32" s="345"/>
      <c r="L32" s="408" t="s">
        <v>383</v>
      </c>
      <c r="M32" s="345" t="s">
        <v>295</v>
      </c>
      <c r="N32" s="345"/>
      <c r="O32" s="408" t="s">
        <v>383</v>
      </c>
      <c r="P32" s="345" t="s">
        <v>277</v>
      </c>
      <c r="Q32" s="346"/>
      <c r="R32" s="408" t="s">
        <v>383</v>
      </c>
      <c r="S32" s="345" t="s">
        <v>296</v>
      </c>
      <c r="T32" s="346"/>
      <c r="U32" s="346"/>
      <c r="V32" s="345"/>
      <c r="W32" s="345"/>
      <c r="X32" s="462"/>
      <c r="Y32" s="154"/>
      <c r="Z32" s="627"/>
      <c r="AA32" s="627"/>
      <c r="AB32" s="148"/>
      <c r="AC32" s="154"/>
      <c r="AD32" s="627"/>
      <c r="AE32" s="627"/>
      <c r="AF32" s="148"/>
      <c r="AI32" s="109" t="str">
        <f>"A6:serteikyo_kyoka_code:" &amp; IF(I32="■",1,IF(L32="■",5,IF(O32="■",4,IF(R32="■",6,0))))</f>
        <v>A6:serteikyo_kyoka_code:0</v>
      </c>
    </row>
    <row r="33" spans="1:35" ht="18.75" customHeight="1" x14ac:dyDescent="0.2">
      <c r="A33" s="139"/>
      <c r="B33" s="670"/>
      <c r="C33" s="140"/>
      <c r="D33" s="141"/>
      <c r="E33" s="143"/>
      <c r="F33" s="669"/>
      <c r="G33" s="148"/>
      <c r="H33" s="478" t="s">
        <v>145</v>
      </c>
      <c r="I33" s="661" t="s">
        <v>383</v>
      </c>
      <c r="J33" s="345" t="s">
        <v>250</v>
      </c>
      <c r="K33" s="345"/>
      <c r="L33" s="646" t="s">
        <v>383</v>
      </c>
      <c r="M33" s="345" t="s">
        <v>268</v>
      </c>
      <c r="N33" s="345"/>
      <c r="O33" s="1017" t="s">
        <v>383</v>
      </c>
      <c r="P33" s="345" t="s">
        <v>269</v>
      </c>
      <c r="Q33" s="430"/>
      <c r="R33" s="430"/>
      <c r="S33" s="430"/>
      <c r="T33" s="430"/>
      <c r="U33" s="430"/>
      <c r="V33" s="430"/>
      <c r="W33" s="430"/>
      <c r="X33" s="431"/>
      <c r="Y33" s="154"/>
      <c r="Z33" s="627"/>
      <c r="AA33" s="627"/>
      <c r="AB33" s="148"/>
      <c r="AC33" s="154"/>
      <c r="AD33" s="627"/>
      <c r="AE33" s="627"/>
      <c r="AF33" s="148"/>
      <c r="AI33" s="109" t="str">
        <f>"A6:field185:" &amp; IF(I33="■",1,IF(L33="■",3,IF(O33="■",2,0)))</f>
        <v>A6:field185:0</v>
      </c>
    </row>
    <row r="34" spans="1:35" ht="18.75" customHeight="1" x14ac:dyDescent="0.2">
      <c r="A34" s="139"/>
      <c r="B34" s="670"/>
      <c r="C34" s="140"/>
      <c r="D34" s="141"/>
      <c r="E34" s="143"/>
      <c r="F34" s="669"/>
      <c r="G34" s="148"/>
      <c r="H34" s="405" t="s">
        <v>197</v>
      </c>
      <c r="I34" s="661" t="s">
        <v>383</v>
      </c>
      <c r="J34" s="345" t="s">
        <v>250</v>
      </c>
      <c r="K34" s="362"/>
      <c r="L34" s="408" t="s">
        <v>383</v>
      </c>
      <c r="M34" s="345" t="s">
        <v>267</v>
      </c>
      <c r="N34" s="430"/>
      <c r="O34" s="430"/>
      <c r="P34" s="430"/>
      <c r="Q34" s="430"/>
      <c r="R34" s="430"/>
      <c r="S34" s="430"/>
      <c r="T34" s="430"/>
      <c r="U34" s="430"/>
      <c r="V34" s="430"/>
      <c r="W34" s="430"/>
      <c r="X34" s="431"/>
      <c r="Y34" s="154"/>
      <c r="Z34" s="627"/>
      <c r="AA34" s="627"/>
      <c r="AB34" s="148"/>
      <c r="AC34" s="154"/>
      <c r="AD34" s="627"/>
      <c r="AE34" s="627"/>
      <c r="AF34" s="148"/>
      <c r="AI34" s="109" t="str">
        <f>"A6:field212:" &amp; IF(I34="■",1,IF(L34="■",2,0))</f>
        <v>A6:field212:0</v>
      </c>
    </row>
    <row r="35" spans="1:35" s="621" customFormat="1" ht="18.75" customHeight="1" x14ac:dyDescent="0.2">
      <c r="A35" s="139"/>
      <c r="B35" s="670"/>
      <c r="C35" s="140"/>
      <c r="D35" s="141"/>
      <c r="E35" s="143"/>
      <c r="F35" s="669"/>
      <c r="G35" s="148"/>
      <c r="H35" s="713" t="s">
        <v>807</v>
      </c>
      <c r="I35" s="642" t="s">
        <v>383</v>
      </c>
      <c r="J35" s="616" t="s">
        <v>627</v>
      </c>
      <c r="K35" s="616"/>
      <c r="L35" s="615"/>
      <c r="M35" s="644" t="s">
        <v>383</v>
      </c>
      <c r="N35" s="616" t="s">
        <v>791</v>
      </c>
      <c r="O35" s="617"/>
      <c r="P35" s="615"/>
      <c r="Q35" s="644" t="s">
        <v>383</v>
      </c>
      <c r="R35" s="618" t="s">
        <v>792</v>
      </c>
      <c r="S35" s="615"/>
      <c r="T35" s="615"/>
      <c r="U35" s="615"/>
      <c r="V35" s="618"/>
      <c r="W35" s="619"/>
      <c r="X35" s="620"/>
      <c r="Y35" s="154"/>
      <c r="Z35" s="627"/>
      <c r="AA35" s="627"/>
      <c r="AB35" s="148"/>
      <c r="AC35" s="154"/>
      <c r="AD35" s="627"/>
      <c r="AE35" s="627"/>
      <c r="AF35" s="148"/>
    </row>
    <row r="36" spans="1:35" s="621" customFormat="1" ht="18.75" customHeight="1" x14ac:dyDescent="0.2">
      <c r="A36" s="139"/>
      <c r="B36" s="670"/>
      <c r="C36" s="140"/>
      <c r="D36" s="141"/>
      <c r="E36" s="143"/>
      <c r="F36" s="669"/>
      <c r="G36" s="148"/>
      <c r="H36" s="1002"/>
      <c r="I36" s="664" t="s">
        <v>383</v>
      </c>
      <c r="J36" s="987" t="s">
        <v>793</v>
      </c>
      <c r="K36" s="987"/>
      <c r="L36" s="1003"/>
      <c r="M36" s="629" t="s">
        <v>383</v>
      </c>
      <c r="N36" s="987" t="s">
        <v>794</v>
      </c>
      <c r="O36" s="1004"/>
      <c r="P36" s="1003"/>
      <c r="Q36" s="1021" t="s">
        <v>383</v>
      </c>
      <c r="R36" s="987" t="s">
        <v>795</v>
      </c>
      <c r="S36" s="1003"/>
      <c r="T36" s="987"/>
      <c r="U36" s="1021" t="s">
        <v>383</v>
      </c>
      <c r="V36" s="1016" t="s">
        <v>796</v>
      </c>
      <c r="W36" s="1005"/>
      <c r="X36" s="1006"/>
      <c r="Y36" s="154"/>
      <c r="Z36" s="627"/>
      <c r="AA36" s="627"/>
      <c r="AB36" s="148"/>
      <c r="AC36" s="154"/>
      <c r="AD36" s="627"/>
      <c r="AE36" s="627"/>
      <c r="AF36" s="148"/>
    </row>
    <row r="37" spans="1:35" s="621" customFormat="1" ht="18.75" customHeight="1" x14ac:dyDescent="0.2">
      <c r="A37" s="139"/>
      <c r="B37" s="670"/>
      <c r="C37" s="140"/>
      <c r="D37" s="141"/>
      <c r="E37" s="143"/>
      <c r="F37" s="669"/>
      <c r="G37" s="148"/>
      <c r="H37" s="713" t="s">
        <v>808</v>
      </c>
      <c r="I37" s="642" t="s">
        <v>383</v>
      </c>
      <c r="J37" s="616" t="s">
        <v>627</v>
      </c>
      <c r="K37" s="616"/>
      <c r="L37" s="615"/>
      <c r="M37" s="644" t="s">
        <v>383</v>
      </c>
      <c r="N37" s="616" t="s">
        <v>791</v>
      </c>
      <c r="O37" s="617"/>
      <c r="P37" s="615"/>
      <c r="Q37" s="1020" t="s">
        <v>383</v>
      </c>
      <c r="R37" s="987" t="s">
        <v>792</v>
      </c>
      <c r="S37" s="615"/>
      <c r="T37" s="615"/>
      <c r="U37" s="615"/>
      <c r="V37" s="987"/>
      <c r="W37" s="619"/>
      <c r="X37" s="620"/>
      <c r="Y37" s="154"/>
      <c r="Z37" s="627"/>
      <c r="AA37" s="627"/>
      <c r="AB37" s="148"/>
      <c r="AC37" s="154"/>
      <c r="AD37" s="627"/>
      <c r="AE37" s="627"/>
      <c r="AF37" s="148"/>
    </row>
    <row r="38" spans="1:35" s="621" customFormat="1" ht="18.75" customHeight="1" x14ac:dyDescent="0.2">
      <c r="A38" s="183"/>
      <c r="B38" s="658"/>
      <c r="C38" s="185"/>
      <c r="D38" s="186"/>
      <c r="E38" s="189"/>
      <c r="F38" s="657"/>
      <c r="G38" s="193"/>
      <c r="H38" s="714"/>
      <c r="I38" s="277" t="s">
        <v>383</v>
      </c>
      <c r="J38" s="623" t="s">
        <v>793</v>
      </c>
      <c r="K38" s="623"/>
      <c r="L38" s="622"/>
      <c r="M38" s="1021" t="s">
        <v>383</v>
      </c>
      <c r="N38" s="623" t="s">
        <v>794</v>
      </c>
      <c r="O38" s="624"/>
      <c r="P38" s="622"/>
      <c r="Q38" s="1021" t="s">
        <v>383</v>
      </c>
      <c r="R38" s="623" t="s">
        <v>795</v>
      </c>
      <c r="S38" s="622"/>
      <c r="T38" s="623"/>
      <c r="U38" s="1021" t="s">
        <v>383</v>
      </c>
      <c r="V38" s="623" t="s">
        <v>796</v>
      </c>
      <c r="W38" s="625"/>
      <c r="X38" s="626"/>
      <c r="Y38" s="194"/>
      <c r="Z38" s="192"/>
      <c r="AA38" s="192"/>
      <c r="AB38" s="193"/>
      <c r="AC38" s="194"/>
      <c r="AD38" s="192"/>
      <c r="AE38" s="192"/>
      <c r="AF38" s="193"/>
    </row>
    <row r="39" spans="1:35" s="1" customFormat="1" ht="18.75" customHeight="1" x14ac:dyDescent="0.2">
      <c r="A39" s="2"/>
      <c r="B39" s="12"/>
      <c r="C39" s="2" t="s">
        <v>634</v>
      </c>
      <c r="E39" s="2"/>
      <c r="F39" s="12"/>
      <c r="G39" s="92"/>
      <c r="I39" s="2"/>
      <c r="J39" s="2"/>
      <c r="K39" s="2"/>
      <c r="L39" s="2"/>
      <c r="M39" s="2"/>
      <c r="N39" s="2"/>
      <c r="O39" s="2"/>
      <c r="P39" s="2"/>
      <c r="Y39" s="92"/>
      <c r="Z39" s="92"/>
      <c r="AA39" s="92"/>
      <c r="AB39" s="92"/>
      <c r="AC39" s="92"/>
      <c r="AD39" s="92"/>
      <c r="AE39" s="92"/>
      <c r="AF39" s="92"/>
    </row>
    <row r="40" spans="1:35" s="1" customFormat="1" ht="18.75" customHeight="1" x14ac:dyDescent="0.2">
      <c r="A40" s="2"/>
      <c r="B40" s="12"/>
      <c r="C40" s="2" t="s">
        <v>774</v>
      </c>
      <c r="E40" s="2"/>
      <c r="F40" s="12"/>
      <c r="G40" s="92"/>
      <c r="I40" s="2"/>
      <c r="J40" s="2"/>
      <c r="K40" s="2"/>
      <c r="L40" s="2"/>
      <c r="M40" s="2"/>
      <c r="N40" s="2"/>
      <c r="O40" s="2"/>
      <c r="P40" s="2"/>
      <c r="Y40" s="92"/>
      <c r="Z40" s="92"/>
      <c r="AA40" s="92"/>
      <c r="AB40" s="92"/>
      <c r="AC40" s="92"/>
      <c r="AD40" s="92"/>
      <c r="AE40" s="92"/>
      <c r="AF40" s="92"/>
    </row>
    <row r="41" spans="1:35" s="1" customFormat="1" ht="18.75" customHeight="1" x14ac:dyDescent="0.2">
      <c r="A41" s="2"/>
      <c r="B41" s="12"/>
      <c r="C41" s="2" t="s">
        <v>775</v>
      </c>
      <c r="E41" s="2"/>
      <c r="F41" s="12"/>
      <c r="G41" s="92"/>
      <c r="I41" s="2"/>
      <c r="J41" s="2"/>
      <c r="K41" s="2"/>
      <c r="L41" s="2"/>
      <c r="M41" s="2"/>
      <c r="N41" s="2"/>
      <c r="O41" s="2"/>
      <c r="P41" s="2"/>
      <c r="Y41" s="92"/>
      <c r="Z41" s="92"/>
      <c r="AA41" s="92"/>
      <c r="AB41" s="92"/>
      <c r="AC41" s="92"/>
      <c r="AD41" s="92"/>
      <c r="AE41" s="92"/>
      <c r="AF41" s="92"/>
    </row>
    <row r="42" spans="1:35" s="1" customFormat="1" ht="18.75" customHeight="1" x14ac:dyDescent="0.2">
      <c r="A42" s="2"/>
      <c r="B42" s="12"/>
      <c r="C42" s="2" t="s">
        <v>776</v>
      </c>
      <c r="E42" s="2"/>
      <c r="F42" s="12"/>
      <c r="G42" s="92"/>
      <c r="I42" s="2"/>
      <c r="J42" s="2"/>
      <c r="K42" s="2"/>
      <c r="L42" s="2"/>
      <c r="M42" s="2"/>
      <c r="N42" s="2"/>
      <c r="O42" s="85"/>
      <c r="P42" s="2"/>
      <c r="Y42" s="92"/>
      <c r="Z42" s="92"/>
      <c r="AA42" s="92"/>
      <c r="AB42" s="92"/>
      <c r="AC42" s="92"/>
      <c r="AD42" s="92"/>
      <c r="AE42" s="92"/>
      <c r="AF42" s="92"/>
    </row>
    <row r="43" spans="1:35" s="1" customFormat="1" ht="18.75" customHeight="1" x14ac:dyDescent="0.2">
      <c r="A43" s="2"/>
      <c r="B43" s="12"/>
      <c r="C43" s="2"/>
      <c r="E43" s="2"/>
      <c r="F43" s="12"/>
      <c r="G43" s="92"/>
      <c r="I43" s="2"/>
      <c r="J43" s="2"/>
      <c r="K43" s="2"/>
      <c r="L43" s="2"/>
      <c r="M43" s="2"/>
      <c r="N43" s="2"/>
      <c r="O43" s="85"/>
      <c r="P43" s="2"/>
      <c r="Y43" s="92"/>
      <c r="Z43" s="92"/>
      <c r="AA43" s="92"/>
      <c r="AB43" s="92"/>
      <c r="AC43" s="92"/>
      <c r="AD43" s="92"/>
      <c r="AE43" s="92"/>
      <c r="AF43" s="92"/>
    </row>
    <row r="44" spans="1:35" ht="18.75" customHeight="1" x14ac:dyDescent="0.2">
      <c r="A44" s="126"/>
      <c r="C44" s="126"/>
      <c r="E44" s="126"/>
      <c r="F44" s="110"/>
      <c r="G44" s="147"/>
      <c r="I44" s="126"/>
      <c r="J44" s="126"/>
      <c r="K44" s="126"/>
      <c r="L44" s="126"/>
      <c r="M44" s="126"/>
      <c r="N44" s="126"/>
      <c r="O44" s="126"/>
      <c r="P44" s="126"/>
      <c r="Y44" s="147"/>
      <c r="Z44" s="147"/>
      <c r="AA44" s="147"/>
      <c r="AB44" s="147"/>
      <c r="AC44" s="147"/>
      <c r="AD44" s="147"/>
      <c r="AE44" s="147"/>
      <c r="AF44" s="147"/>
    </row>
    <row r="45" spans="1:35" ht="18.75" customHeight="1" x14ac:dyDescent="0.2">
      <c r="A45" s="126"/>
      <c r="C45" s="126"/>
      <c r="E45" s="126"/>
      <c r="F45" s="110"/>
      <c r="G45" s="147"/>
      <c r="I45" s="126"/>
      <c r="J45" s="126"/>
      <c r="K45" s="126"/>
      <c r="L45" s="126"/>
      <c r="M45" s="126"/>
      <c r="N45" s="126"/>
      <c r="O45" s="126"/>
      <c r="P45" s="126"/>
      <c r="Y45" s="147"/>
      <c r="Z45" s="147"/>
      <c r="AA45" s="147"/>
      <c r="AB45" s="147"/>
      <c r="AC45" s="147"/>
      <c r="AD45" s="147"/>
      <c r="AE45" s="147"/>
      <c r="AF45" s="147"/>
    </row>
    <row r="47" spans="1:35" ht="20.25" customHeight="1" x14ac:dyDescent="0.2">
      <c r="A47" s="681" t="s">
        <v>780</v>
      </c>
      <c r="B47" s="681"/>
      <c r="C47" s="681"/>
      <c r="D47" s="681"/>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row>
    <row r="48" spans="1:35" ht="20.25" customHeight="1" x14ac:dyDescent="0.2">
      <c r="AG48" s="145" t="s">
        <v>779</v>
      </c>
    </row>
    <row r="49" spans="1:35" ht="30" customHeight="1" x14ac:dyDescent="0.2">
      <c r="A49" s="685" t="s">
        <v>787</v>
      </c>
      <c r="B49" s="686"/>
      <c r="C49" s="686"/>
      <c r="D49" s="686"/>
      <c r="E49" s="687"/>
      <c r="F49" s="685" t="s">
        <v>788</v>
      </c>
      <c r="G49" s="686"/>
      <c r="H49" s="686"/>
      <c r="I49" s="686"/>
      <c r="J49" s="687"/>
      <c r="K49" s="688" t="s">
        <v>789</v>
      </c>
      <c r="L49" s="689"/>
      <c r="M49" s="689"/>
      <c r="N49" s="689"/>
      <c r="O49" s="689"/>
      <c r="P49" s="689"/>
      <c r="Q49" s="689"/>
      <c r="R49" s="690"/>
      <c r="S49" s="682" t="s">
        <v>622</v>
      </c>
      <c r="T49" s="683"/>
      <c r="U49" s="683"/>
      <c r="V49" s="684"/>
      <c r="W49" s="113"/>
      <c r="X49" s="113"/>
      <c r="Y49" s="113"/>
      <c r="Z49" s="113"/>
      <c r="AA49" s="113"/>
      <c r="AB49" s="113"/>
      <c r="AC49" s="113"/>
      <c r="AD49" s="113"/>
      <c r="AE49" s="113"/>
      <c r="AF49" s="114"/>
      <c r="AG49" s="109" t="str">
        <f>"kaigo_num='" &amp;W49&amp;X49&amp;Y49&amp;Z49&amp;AA49&amp;AB49&amp;AC49&amp;AD49&amp;AE49&amp;AF49&amp; "'"</f>
        <v>kaigo_num=''</v>
      </c>
    </row>
    <row r="51" spans="1:35" ht="17.25" customHeight="1" x14ac:dyDescent="0.2">
      <c r="A51" s="682" t="s">
        <v>85</v>
      </c>
      <c r="B51" s="683"/>
      <c r="C51" s="684"/>
      <c r="D51" s="682" t="s">
        <v>1</v>
      </c>
      <c r="E51" s="684"/>
      <c r="F51" s="682" t="s">
        <v>86</v>
      </c>
      <c r="G51" s="684"/>
      <c r="H51" s="682" t="s">
        <v>179</v>
      </c>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4"/>
    </row>
    <row r="52" spans="1:35" ht="18.75" customHeight="1" x14ac:dyDescent="0.2">
      <c r="A52" s="129"/>
      <c r="B52" s="116"/>
      <c r="C52" s="130"/>
      <c r="D52" s="115"/>
      <c r="E52" s="133"/>
      <c r="F52" s="115"/>
      <c r="G52" s="133"/>
      <c r="H52" s="234" t="s">
        <v>623</v>
      </c>
      <c r="I52" s="333" t="s">
        <v>383</v>
      </c>
      <c r="J52" s="169" t="s">
        <v>395</v>
      </c>
      <c r="K52" s="169"/>
      <c r="L52" s="169"/>
      <c r="M52" s="334" t="s">
        <v>383</v>
      </c>
      <c r="N52" s="169" t="s">
        <v>431</v>
      </c>
      <c r="O52" s="169"/>
      <c r="P52" s="169"/>
      <c r="Q52" s="169"/>
      <c r="R52" s="169"/>
      <c r="S52" s="169"/>
      <c r="T52" s="169"/>
      <c r="U52" s="169"/>
      <c r="V52" s="169"/>
      <c r="W52" s="169"/>
      <c r="X52" s="169"/>
      <c r="Y52" s="235"/>
      <c r="Z52" s="151"/>
      <c r="AA52" s="151"/>
      <c r="AB52" s="151"/>
      <c r="AC52" s="151"/>
      <c r="AD52" s="151"/>
      <c r="AE52" s="151"/>
      <c r="AF52" s="238"/>
      <c r="AG52" s="109" t="str">
        <f>"ser_code = '" &amp; IF(A59="■","A2S","") &amp; "'"</f>
        <v>ser_code = ''</v>
      </c>
      <c r="AI52" s="109" t="str">
        <f>"A2:field223:" &amp; IF(I52="■",1,IF(M52="■",2,0))</f>
        <v>A2:field223:0</v>
      </c>
    </row>
    <row r="53" spans="1:35" ht="18.75" customHeight="1" x14ac:dyDescent="0.2">
      <c r="A53" s="139"/>
      <c r="B53" s="123"/>
      <c r="C53" s="140"/>
      <c r="D53" s="122"/>
      <c r="E53" s="143"/>
      <c r="F53" s="122"/>
      <c r="G53" s="143"/>
      <c r="H53" s="694" t="s">
        <v>456</v>
      </c>
      <c r="I53" s="862" t="s">
        <v>383</v>
      </c>
      <c r="J53" s="708" t="s">
        <v>624</v>
      </c>
      <c r="K53" s="708"/>
      <c r="L53" s="708"/>
      <c r="M53" s="864" t="s">
        <v>383</v>
      </c>
      <c r="N53" s="708" t="s">
        <v>625</v>
      </c>
      <c r="O53" s="708"/>
      <c r="P53" s="708"/>
      <c r="Q53" s="860"/>
      <c r="R53" s="860"/>
      <c r="S53" s="860"/>
      <c r="T53" s="860"/>
      <c r="U53" s="126"/>
      <c r="V53" s="126"/>
      <c r="W53" s="126"/>
      <c r="X53" s="126"/>
      <c r="Y53" s="172"/>
      <c r="AF53" s="178"/>
      <c r="AI53" s="109" t="str">
        <f>"A2:field233:" &amp; IF(I53="■",1,IF(M53="■",2,0))</f>
        <v>A2:field233:0</v>
      </c>
    </row>
    <row r="54" spans="1:35" ht="18.75" customHeight="1" x14ac:dyDescent="0.2">
      <c r="A54" s="139"/>
      <c r="B54" s="123"/>
      <c r="C54" s="140"/>
      <c r="D54" s="122"/>
      <c r="E54" s="143"/>
      <c r="F54" s="122"/>
      <c r="G54" s="143"/>
      <c r="H54" s="693"/>
      <c r="I54" s="863"/>
      <c r="J54" s="698"/>
      <c r="K54" s="698"/>
      <c r="L54" s="698"/>
      <c r="M54" s="865"/>
      <c r="N54" s="698"/>
      <c r="O54" s="698"/>
      <c r="P54" s="698"/>
      <c r="Q54" s="861"/>
      <c r="R54" s="861"/>
      <c r="S54" s="861"/>
      <c r="T54" s="861"/>
      <c r="U54" s="169"/>
      <c r="V54" s="169"/>
      <c r="W54" s="169"/>
      <c r="X54" s="169"/>
      <c r="Y54" s="151"/>
      <c r="Z54" s="151"/>
      <c r="AA54" s="151"/>
      <c r="AB54" s="151"/>
      <c r="AC54" s="151"/>
      <c r="AD54" s="151"/>
      <c r="AE54" s="151"/>
      <c r="AF54" s="238"/>
      <c r="AI54" s="109"/>
    </row>
    <row r="55" spans="1:35" ht="18.75" customHeight="1" x14ac:dyDescent="0.2">
      <c r="A55" s="139"/>
      <c r="B55" s="123"/>
      <c r="C55" s="140"/>
      <c r="D55" s="122"/>
      <c r="E55" s="143"/>
      <c r="F55" s="122"/>
      <c r="G55" s="143"/>
      <c r="H55" s="694" t="s">
        <v>626</v>
      </c>
      <c r="I55" s="862" t="s">
        <v>383</v>
      </c>
      <c r="J55" s="708" t="s">
        <v>624</v>
      </c>
      <c r="K55" s="708"/>
      <c r="L55" s="708"/>
      <c r="M55" s="864" t="s">
        <v>383</v>
      </c>
      <c r="N55" s="708" t="s">
        <v>625</v>
      </c>
      <c r="O55" s="708"/>
      <c r="P55" s="708"/>
      <c r="Q55" s="860"/>
      <c r="R55" s="860"/>
      <c r="S55" s="860"/>
      <c r="T55" s="860"/>
      <c r="U55" s="126"/>
      <c r="V55" s="126"/>
      <c r="W55" s="126"/>
      <c r="X55" s="126"/>
      <c r="Y55" s="172"/>
      <c r="AF55" s="178"/>
      <c r="AI55" s="109" t="str">
        <f>"A2:field234:" &amp; IF(I55="■",1,IF(M55="■",2,0))</f>
        <v>A2:field234:0</v>
      </c>
    </row>
    <row r="56" spans="1:35" ht="18.75" customHeight="1" x14ac:dyDescent="0.2">
      <c r="A56" s="139"/>
      <c r="B56" s="123"/>
      <c r="C56" s="140"/>
      <c r="D56" s="122"/>
      <c r="E56" s="143"/>
      <c r="F56" s="122"/>
      <c r="G56" s="143"/>
      <c r="H56" s="693"/>
      <c r="I56" s="863"/>
      <c r="J56" s="698"/>
      <c r="K56" s="698"/>
      <c r="L56" s="698"/>
      <c r="M56" s="865"/>
      <c r="N56" s="698"/>
      <c r="O56" s="698"/>
      <c r="P56" s="698"/>
      <c r="Q56" s="861"/>
      <c r="R56" s="861"/>
      <c r="S56" s="861"/>
      <c r="T56" s="861"/>
      <c r="U56" s="169"/>
      <c r="V56" s="169"/>
      <c r="W56" s="169"/>
      <c r="X56" s="169"/>
      <c r="Y56" s="151"/>
      <c r="Z56" s="151"/>
      <c r="AA56" s="151"/>
      <c r="AB56" s="151"/>
      <c r="AC56" s="151"/>
      <c r="AD56" s="151"/>
      <c r="AE56" s="151"/>
      <c r="AF56" s="238"/>
      <c r="AI56" s="109"/>
    </row>
    <row r="57" spans="1:35" ht="18.75" customHeight="1" x14ac:dyDescent="0.2">
      <c r="A57" s="139"/>
      <c r="B57" s="123"/>
      <c r="C57" s="140"/>
      <c r="D57" s="122"/>
      <c r="E57" s="143"/>
      <c r="F57" s="122"/>
      <c r="G57" s="143"/>
      <c r="H57" s="694" t="s">
        <v>458</v>
      </c>
      <c r="I57" s="862" t="s">
        <v>383</v>
      </c>
      <c r="J57" s="708" t="s">
        <v>624</v>
      </c>
      <c r="K57" s="708"/>
      <c r="L57" s="708"/>
      <c r="M57" s="864" t="s">
        <v>383</v>
      </c>
      <c r="N57" s="708" t="s">
        <v>625</v>
      </c>
      <c r="O57" s="708"/>
      <c r="P57" s="708"/>
      <c r="Q57" s="860"/>
      <c r="R57" s="860"/>
      <c r="S57" s="860"/>
      <c r="T57" s="860"/>
      <c r="U57" s="126"/>
      <c r="V57" s="126"/>
      <c r="W57" s="126"/>
      <c r="X57" s="126"/>
      <c r="Y57" s="172"/>
      <c r="AF57" s="178"/>
      <c r="AI57" s="109" t="str">
        <f>"A2:field235:" &amp; IF(I57="■",1,IF(M57="■",2,0))</f>
        <v>A2:field235:0</v>
      </c>
    </row>
    <row r="58" spans="1:35" ht="18.75" customHeight="1" x14ac:dyDescent="0.2">
      <c r="A58" s="139"/>
      <c r="B58" s="123"/>
      <c r="C58" s="140"/>
      <c r="D58" s="122"/>
      <c r="E58" s="143"/>
      <c r="F58" s="122"/>
      <c r="G58" s="143"/>
      <c r="H58" s="693"/>
      <c r="I58" s="863"/>
      <c r="J58" s="698"/>
      <c r="K58" s="698"/>
      <c r="L58" s="698"/>
      <c r="M58" s="865"/>
      <c r="N58" s="698"/>
      <c r="O58" s="698"/>
      <c r="P58" s="698"/>
      <c r="Q58" s="861"/>
      <c r="R58" s="861"/>
      <c r="S58" s="861"/>
      <c r="T58" s="861"/>
      <c r="U58" s="169"/>
      <c r="V58" s="169"/>
      <c r="W58" s="169"/>
      <c r="X58" s="169"/>
      <c r="Y58" s="151"/>
      <c r="Z58" s="151"/>
      <c r="AA58" s="151"/>
      <c r="AB58" s="151"/>
      <c r="AC58" s="151"/>
      <c r="AD58" s="151"/>
      <c r="AE58" s="151"/>
      <c r="AF58" s="238"/>
      <c r="AI58" s="109"/>
    </row>
    <row r="59" spans="1:35" ht="18.75" customHeight="1" x14ac:dyDescent="0.2">
      <c r="A59" s="125" t="s">
        <v>383</v>
      </c>
      <c r="B59" s="123" t="s">
        <v>628</v>
      </c>
      <c r="C59" s="140" t="s">
        <v>629</v>
      </c>
      <c r="D59" s="122"/>
      <c r="E59" s="143"/>
      <c r="F59" s="122"/>
      <c r="G59" s="143"/>
      <c r="H59" s="144" t="s">
        <v>135</v>
      </c>
      <c r="I59" s="334" t="s">
        <v>383</v>
      </c>
      <c r="J59" s="126" t="s">
        <v>627</v>
      </c>
      <c r="K59" s="126"/>
      <c r="L59" s="334" t="s">
        <v>383</v>
      </c>
      <c r="M59" s="126" t="s">
        <v>635</v>
      </c>
      <c r="N59" s="126"/>
      <c r="AF59" s="178"/>
      <c r="AI59" s="109" t="str">
        <f>"A2:tokutiiki_code:" &amp; IF(I59="■",1,IF(L59="■",2,0))</f>
        <v>A2:tokutiiki_code:0</v>
      </c>
    </row>
    <row r="60" spans="1:35" ht="18.75" customHeight="1" x14ac:dyDescent="0.2">
      <c r="A60" s="139"/>
      <c r="B60" s="123"/>
      <c r="C60" s="140"/>
      <c r="D60" s="122"/>
      <c r="E60" s="143"/>
      <c r="F60" s="122"/>
      <c r="G60" s="143"/>
      <c r="H60" s="694" t="s">
        <v>209</v>
      </c>
      <c r="I60" s="864" t="s">
        <v>383</v>
      </c>
      <c r="J60" s="708" t="s">
        <v>256</v>
      </c>
      <c r="K60" s="708"/>
      <c r="L60" s="708"/>
      <c r="M60" s="864" t="s">
        <v>383</v>
      </c>
      <c r="N60" s="708" t="s">
        <v>257</v>
      </c>
      <c r="O60" s="708"/>
      <c r="P60" s="708"/>
      <c r="Q60" s="172"/>
      <c r="R60" s="172"/>
      <c r="S60" s="172"/>
      <c r="T60" s="172"/>
      <c r="U60" s="172"/>
      <c r="V60" s="172"/>
      <c r="W60" s="172"/>
      <c r="X60" s="172"/>
      <c r="Y60" s="172"/>
      <c r="Z60" s="172"/>
      <c r="AA60" s="172"/>
      <c r="AB60" s="172"/>
      <c r="AC60" s="172"/>
      <c r="AD60" s="172"/>
      <c r="AE60" s="172"/>
      <c r="AF60" s="209"/>
      <c r="AI60" s="109" t="str">
        <f>"A2:chuusankanti_tiiki_code:" &amp; IF(I60="■",1,IF(M60="■",2,0))</f>
        <v>A2:chuusankanti_tiiki_code:0</v>
      </c>
    </row>
    <row r="61" spans="1:35" ht="18.75" customHeight="1" x14ac:dyDescent="0.2">
      <c r="A61" s="122"/>
      <c r="C61" s="140"/>
      <c r="D61" s="122"/>
      <c r="E61" s="143"/>
      <c r="F61" s="122"/>
      <c r="G61" s="143"/>
      <c r="H61" s="693"/>
      <c r="I61" s="865"/>
      <c r="J61" s="698"/>
      <c r="K61" s="698"/>
      <c r="L61" s="698"/>
      <c r="M61" s="865"/>
      <c r="N61" s="698"/>
      <c r="O61" s="698"/>
      <c r="P61" s="698"/>
      <c r="Q61" s="151"/>
      <c r="R61" s="151"/>
      <c r="S61" s="151"/>
      <c r="T61" s="151"/>
      <c r="U61" s="151"/>
      <c r="V61" s="151"/>
      <c r="W61" s="151"/>
      <c r="X61" s="151"/>
      <c r="Y61" s="151"/>
      <c r="Z61" s="151"/>
      <c r="AA61" s="151"/>
      <c r="AB61" s="151"/>
      <c r="AC61" s="151"/>
      <c r="AD61" s="151"/>
      <c r="AE61" s="151"/>
      <c r="AF61" s="238"/>
      <c r="AI61" s="109"/>
    </row>
    <row r="62" spans="1:35" ht="18.75" customHeight="1" x14ac:dyDescent="0.2">
      <c r="A62" s="139"/>
      <c r="B62" s="123"/>
      <c r="C62" s="140"/>
      <c r="D62" s="122"/>
      <c r="E62" s="143"/>
      <c r="F62" s="122"/>
      <c r="G62" s="143"/>
      <c r="H62" s="694" t="s">
        <v>210</v>
      </c>
      <c r="I62" s="864" t="s">
        <v>383</v>
      </c>
      <c r="J62" s="708" t="s">
        <v>256</v>
      </c>
      <c r="K62" s="708"/>
      <c r="L62" s="708"/>
      <c r="M62" s="864" t="s">
        <v>383</v>
      </c>
      <c r="N62" s="708" t="s">
        <v>257</v>
      </c>
      <c r="O62" s="708"/>
      <c r="P62" s="708"/>
      <c r="Q62" s="172"/>
      <c r="R62" s="172"/>
      <c r="S62" s="172"/>
      <c r="T62" s="172"/>
      <c r="U62" s="172"/>
      <c r="V62" s="172"/>
      <c r="W62" s="172"/>
      <c r="X62" s="172"/>
      <c r="Y62" s="172"/>
      <c r="Z62" s="172"/>
      <c r="AA62" s="172"/>
      <c r="AB62" s="172"/>
      <c r="AC62" s="172"/>
      <c r="AD62" s="172"/>
      <c r="AE62" s="172"/>
      <c r="AF62" s="209"/>
      <c r="AI62" s="109" t="str">
        <f>"A2:chuusankanti_kibo_code:" &amp; IF(I62="■",1,IF(M62="■",2,0))</f>
        <v>A2:chuusankanti_kibo_code:0</v>
      </c>
    </row>
    <row r="63" spans="1:35" ht="18.75" customHeight="1" x14ac:dyDescent="0.2">
      <c r="A63" s="139"/>
      <c r="B63" s="123"/>
      <c r="C63" s="140"/>
      <c r="D63" s="122"/>
      <c r="E63" s="143"/>
      <c r="F63" s="122"/>
      <c r="G63" s="143"/>
      <c r="H63" s="764"/>
      <c r="I63" s="865"/>
      <c r="J63" s="698"/>
      <c r="K63" s="698"/>
      <c r="L63" s="698"/>
      <c r="M63" s="865"/>
      <c r="N63" s="698"/>
      <c r="O63" s="698"/>
      <c r="P63" s="698"/>
      <c r="Q63" s="151"/>
      <c r="R63" s="151"/>
      <c r="S63" s="151"/>
      <c r="T63" s="151"/>
      <c r="U63" s="151"/>
      <c r="V63" s="151"/>
      <c r="W63" s="151"/>
      <c r="X63" s="151"/>
      <c r="Y63" s="151"/>
      <c r="Z63" s="151"/>
      <c r="AA63" s="151"/>
      <c r="AB63" s="151"/>
      <c r="AC63" s="151"/>
      <c r="AD63" s="151"/>
      <c r="AE63" s="151"/>
      <c r="AF63" s="238"/>
    </row>
    <row r="64" spans="1:35" ht="18.75" customHeight="1" x14ac:dyDescent="0.2">
      <c r="A64" s="139"/>
      <c r="B64" s="184"/>
      <c r="C64" s="185"/>
      <c r="D64" s="186"/>
      <c r="E64" s="143"/>
      <c r="F64" s="276"/>
      <c r="G64" s="143"/>
      <c r="H64" s="155" t="s">
        <v>433</v>
      </c>
      <c r="I64" s="326" t="s">
        <v>383</v>
      </c>
      <c r="J64" s="157" t="s">
        <v>250</v>
      </c>
      <c r="K64" s="157"/>
      <c r="L64" s="327" t="s">
        <v>383</v>
      </c>
      <c r="M64" s="157" t="s">
        <v>267</v>
      </c>
      <c r="N64" s="157"/>
      <c r="O64" s="207"/>
      <c r="P64" s="157"/>
      <c r="Q64" s="151"/>
      <c r="R64" s="151"/>
      <c r="S64" s="151"/>
      <c r="T64" s="151"/>
      <c r="U64" s="151"/>
      <c r="V64" s="151"/>
      <c r="W64" s="151"/>
      <c r="X64" s="151"/>
      <c r="Y64" s="335"/>
      <c r="Z64" s="147"/>
      <c r="AA64" s="147"/>
      <c r="AB64" s="147"/>
      <c r="AC64" s="335"/>
      <c r="AD64" s="147"/>
      <c r="AE64" s="147"/>
      <c r="AF64" s="148"/>
      <c r="AI64" s="109" t="str">
        <f>"A2:field224:" &amp; IF(I64="■",1,IF(L64="■",2,0))</f>
        <v>A2:field224:0</v>
      </c>
    </row>
    <row r="65" spans="1:35" ht="18.75" customHeight="1" x14ac:dyDescent="0.2">
      <c r="A65" s="129"/>
      <c r="B65" s="116"/>
      <c r="C65" s="130"/>
      <c r="D65" s="131"/>
      <c r="E65" s="133"/>
      <c r="F65" s="115"/>
      <c r="G65" s="137"/>
      <c r="H65" s="226" t="s">
        <v>93</v>
      </c>
      <c r="I65" s="333" t="s">
        <v>383</v>
      </c>
      <c r="J65" s="197" t="s">
        <v>250</v>
      </c>
      <c r="K65" s="197"/>
      <c r="L65" s="199"/>
      <c r="M65" s="336" t="s">
        <v>383</v>
      </c>
      <c r="N65" s="197" t="s">
        <v>281</v>
      </c>
      <c r="O65" s="197"/>
      <c r="P65" s="199"/>
      <c r="Q65" s="336" t="s">
        <v>383</v>
      </c>
      <c r="R65" s="235" t="s">
        <v>282</v>
      </c>
      <c r="S65" s="235"/>
      <c r="T65" s="235"/>
      <c r="U65" s="235"/>
      <c r="V65" s="197"/>
      <c r="W65" s="197"/>
      <c r="X65" s="197"/>
      <c r="Y65" s="197"/>
      <c r="Z65" s="197"/>
      <c r="AA65" s="197"/>
      <c r="AB65" s="197"/>
      <c r="AC65" s="197"/>
      <c r="AD65" s="197"/>
      <c r="AE65" s="197"/>
      <c r="AF65" s="283"/>
      <c r="AG65" s="109" t="str">
        <f>"ser_code = '" &amp; IF(A70="■","A6S","") &amp; "'"</f>
        <v>ser_code = ''</v>
      </c>
      <c r="AH65" s="109"/>
      <c r="AI65" s="109" t="str">
        <f>"A6:"&amp;IF(AND(I65="□",M65="□",Q65="□"),"ketu_kangos_code:0",IF(I65="■","ketu_kangos_code:1:ketu_kshoku_code:1",IF(M65="■","ketu_kangos_code:2","ketu_kangos_code:1")&amp;IF(Q65="■",":ketu_kshoku_code:2",":ketu_kshoku_code:1")))</f>
        <v>A6:ketu_kangos_code:0</v>
      </c>
    </row>
    <row r="66" spans="1:35" ht="18.75" customHeight="1" x14ac:dyDescent="0.2">
      <c r="A66" s="139"/>
      <c r="B66" s="123"/>
      <c r="C66" s="140"/>
      <c r="D66" s="141"/>
      <c r="E66" s="143"/>
      <c r="F66" s="122"/>
      <c r="G66" s="148"/>
      <c r="H66" s="227" t="s">
        <v>623</v>
      </c>
      <c r="I66" s="334" t="s">
        <v>383</v>
      </c>
      <c r="J66" s="126" t="s">
        <v>395</v>
      </c>
      <c r="K66" s="126"/>
      <c r="L66" s="220"/>
      <c r="M66" s="334" t="s">
        <v>383</v>
      </c>
      <c r="N66" s="126" t="s">
        <v>431</v>
      </c>
      <c r="O66" s="126"/>
      <c r="P66" s="159"/>
      <c r="Q66" s="328"/>
      <c r="R66" s="207"/>
      <c r="S66" s="151"/>
      <c r="T66" s="151"/>
      <c r="U66" s="151"/>
      <c r="V66" s="151"/>
      <c r="W66" s="151"/>
      <c r="X66" s="151"/>
      <c r="Y66" s="207"/>
      <c r="Z66" s="157"/>
      <c r="AA66" s="157"/>
      <c r="AB66" s="337"/>
      <c r="AC66" s="337"/>
      <c r="AD66" s="157"/>
      <c r="AE66" s="157"/>
      <c r="AF66" s="282"/>
      <c r="AI66" s="109" t="str">
        <f>"A6:field223:" &amp; IF(I66="■",1,IF(M66="■",2,0))</f>
        <v>A6:field223:0</v>
      </c>
    </row>
    <row r="67" spans="1:35" ht="18.75" customHeight="1" x14ac:dyDescent="0.2">
      <c r="A67" s="139"/>
      <c r="B67" s="123"/>
      <c r="C67" s="140"/>
      <c r="D67" s="141"/>
      <c r="E67" s="143"/>
      <c r="F67" s="122"/>
      <c r="G67" s="148"/>
      <c r="H67" s="155" t="s">
        <v>448</v>
      </c>
      <c r="I67" s="326" t="s">
        <v>383</v>
      </c>
      <c r="J67" s="157" t="s">
        <v>395</v>
      </c>
      <c r="K67" s="157"/>
      <c r="L67" s="159"/>
      <c r="M67" s="327" t="s">
        <v>383</v>
      </c>
      <c r="N67" s="157" t="s">
        <v>431</v>
      </c>
      <c r="O67" s="151"/>
      <c r="P67" s="220"/>
      <c r="Q67" s="151"/>
      <c r="S67" s="151"/>
      <c r="T67" s="151"/>
      <c r="U67" s="151"/>
      <c r="V67" s="151"/>
      <c r="W67" s="151"/>
      <c r="X67" s="207"/>
      <c r="Z67" s="126"/>
      <c r="AA67" s="126"/>
      <c r="AB67" s="147"/>
      <c r="AC67" s="338"/>
      <c r="AD67" s="126"/>
      <c r="AE67" s="126"/>
      <c r="AF67" s="148"/>
      <c r="AI67" s="109" t="str">
        <f>"A6:field232:" &amp; IF(I67="■",1,IF(M67="■",2,0))</f>
        <v>A6:field232:0</v>
      </c>
    </row>
    <row r="68" spans="1:35" ht="18.75" customHeight="1" x14ac:dyDescent="0.2">
      <c r="A68" s="139"/>
      <c r="B68" s="123"/>
      <c r="C68" s="140"/>
      <c r="D68" s="141"/>
      <c r="E68" s="143"/>
      <c r="F68" s="122"/>
      <c r="G68" s="148"/>
      <c r="H68" s="242" t="s">
        <v>486</v>
      </c>
      <c r="I68" s="326" t="s">
        <v>383</v>
      </c>
      <c r="J68" s="157" t="s">
        <v>250</v>
      </c>
      <c r="K68" s="157"/>
      <c r="L68" s="327" t="s">
        <v>383</v>
      </c>
      <c r="M68" s="157" t="s">
        <v>267</v>
      </c>
      <c r="N68" s="207"/>
      <c r="O68" s="157"/>
      <c r="P68" s="157"/>
      <c r="Q68" s="157"/>
      <c r="R68" s="157"/>
      <c r="S68" s="157"/>
      <c r="T68" s="157"/>
      <c r="U68" s="157"/>
      <c r="V68" s="157"/>
      <c r="W68" s="157"/>
      <c r="X68" s="157"/>
      <c r="Y68" s="157"/>
      <c r="Z68" s="157"/>
      <c r="AA68" s="157"/>
      <c r="AB68" s="157"/>
      <c r="AC68" s="157"/>
      <c r="AD68" s="157"/>
      <c r="AE68" s="157"/>
      <c r="AF68" s="165"/>
      <c r="AI68" s="109" t="str">
        <f>"A6:jyakuninti_uke_code:" &amp; IF(I68="■",1,IF(L68="■",2,0))</f>
        <v>A6:jyakuninti_uke_code:0</v>
      </c>
    </row>
    <row r="69" spans="1:35" ht="18.75" customHeight="1" x14ac:dyDescent="0.2">
      <c r="A69" s="139"/>
      <c r="B69" s="123"/>
      <c r="C69" s="140"/>
      <c r="D69" s="141"/>
      <c r="E69" s="143"/>
      <c r="F69" s="122"/>
      <c r="G69" s="148"/>
      <c r="H69" s="245" t="s">
        <v>630</v>
      </c>
      <c r="I69" s="326" t="s">
        <v>383</v>
      </c>
      <c r="J69" s="157" t="s">
        <v>250</v>
      </c>
      <c r="K69" s="157"/>
      <c r="L69" s="327" t="s">
        <v>383</v>
      </c>
      <c r="M69" s="157" t="s">
        <v>267</v>
      </c>
      <c r="N69" s="207"/>
      <c r="O69" s="157"/>
      <c r="P69" s="157"/>
      <c r="Q69" s="157"/>
      <c r="R69" s="157"/>
      <c r="S69" s="157"/>
      <c r="T69" s="157"/>
      <c r="U69" s="157"/>
      <c r="V69" s="157"/>
      <c r="W69" s="157"/>
      <c r="X69" s="157"/>
      <c r="Y69" s="157"/>
      <c r="Z69" s="157"/>
      <c r="AA69" s="157"/>
      <c r="AB69" s="157"/>
      <c r="AC69" s="157"/>
      <c r="AD69" s="157"/>
      <c r="AE69" s="157"/>
      <c r="AF69" s="165"/>
      <c r="AI69" s="109" t="str">
        <f>"A6:seikatukoujyo_code:" &amp; IF(I69="■",1,IF(L69="■",2,0))</f>
        <v>A6:seikatukoujyo_code:0</v>
      </c>
    </row>
    <row r="70" spans="1:35" ht="18.75" customHeight="1" x14ac:dyDescent="0.2">
      <c r="A70" s="125" t="s">
        <v>383</v>
      </c>
      <c r="B70" s="123" t="s">
        <v>631</v>
      </c>
      <c r="C70" s="140" t="s">
        <v>636</v>
      </c>
      <c r="D70" s="141"/>
      <c r="E70" s="143"/>
      <c r="F70" s="122"/>
      <c r="G70" s="148"/>
      <c r="H70" s="242" t="s">
        <v>637</v>
      </c>
      <c r="I70" s="326" t="s">
        <v>383</v>
      </c>
      <c r="J70" s="157" t="s">
        <v>250</v>
      </c>
      <c r="K70" s="157"/>
      <c r="L70" s="327" t="s">
        <v>383</v>
      </c>
      <c r="M70" s="157" t="s">
        <v>267</v>
      </c>
      <c r="N70" s="207"/>
      <c r="O70" s="157"/>
      <c r="P70" s="157"/>
      <c r="Q70" s="157"/>
      <c r="R70" s="157"/>
      <c r="S70" s="157"/>
      <c r="T70" s="157"/>
      <c r="U70" s="157"/>
      <c r="V70" s="157"/>
      <c r="W70" s="157"/>
      <c r="X70" s="157"/>
      <c r="Y70" s="157"/>
      <c r="Z70" s="157"/>
      <c r="AA70" s="157"/>
      <c r="AB70" s="157"/>
      <c r="AC70" s="157"/>
      <c r="AD70" s="157"/>
      <c r="AE70" s="157"/>
      <c r="AF70" s="165"/>
      <c r="AI70" s="109" t="str">
        <f>"A6:eiyomana_code:" &amp; IF(I70="■",1,IF(L70="■",2,0))</f>
        <v>A6:eiyomana_code:0</v>
      </c>
    </row>
    <row r="71" spans="1:35" ht="18.75" customHeight="1" x14ac:dyDescent="0.2">
      <c r="A71" s="139"/>
      <c r="B71" s="123"/>
      <c r="C71" s="140"/>
      <c r="D71" s="141"/>
      <c r="E71" s="143"/>
      <c r="F71" s="122"/>
      <c r="G71" s="148"/>
      <c r="H71" s="164" t="s">
        <v>205</v>
      </c>
      <c r="I71" s="326" t="s">
        <v>383</v>
      </c>
      <c r="J71" s="157" t="s">
        <v>250</v>
      </c>
      <c r="K71" s="157"/>
      <c r="L71" s="327" t="s">
        <v>383</v>
      </c>
      <c r="M71" s="157" t="s">
        <v>267</v>
      </c>
      <c r="N71" s="207"/>
      <c r="O71" s="157"/>
      <c r="P71" s="157"/>
      <c r="Q71" s="157"/>
      <c r="R71" s="157"/>
      <c r="S71" s="157"/>
      <c r="T71" s="157"/>
      <c r="U71" s="157"/>
      <c r="V71" s="157"/>
      <c r="W71" s="157"/>
      <c r="X71" s="157"/>
      <c r="Y71" s="157"/>
      <c r="Z71" s="157"/>
      <c r="AA71" s="157"/>
      <c r="AB71" s="157"/>
      <c r="AC71" s="157"/>
      <c r="AD71" s="157"/>
      <c r="AE71" s="157"/>
      <c r="AF71" s="165"/>
      <c r="AI71" s="109" t="str">
        <f>"A6:koukoukino_code:" &amp; IF(I71="■",1,IF(L71="■",2,0))</f>
        <v>A6:koukoukino_code:0</v>
      </c>
    </row>
    <row r="72" spans="1:35" ht="18.75" customHeight="1" x14ac:dyDescent="0.2">
      <c r="A72" s="139"/>
      <c r="B72" s="123"/>
      <c r="C72" s="140"/>
      <c r="D72" s="141"/>
      <c r="E72" s="143"/>
      <c r="F72" s="122"/>
      <c r="G72" s="148"/>
      <c r="H72" s="164" t="s">
        <v>145</v>
      </c>
      <c r="I72" s="326" t="s">
        <v>383</v>
      </c>
      <c r="J72" s="157" t="s">
        <v>250</v>
      </c>
      <c r="K72" s="157"/>
      <c r="L72" s="327" t="s">
        <v>383</v>
      </c>
      <c r="M72" s="157" t="s">
        <v>268</v>
      </c>
      <c r="N72" s="157"/>
      <c r="O72" s="327" t="s">
        <v>383</v>
      </c>
      <c r="P72" s="157" t="s">
        <v>269</v>
      </c>
      <c r="Q72" s="207"/>
      <c r="R72" s="207"/>
      <c r="S72" s="207"/>
      <c r="T72" s="157"/>
      <c r="U72" s="157"/>
      <c r="V72" s="157"/>
      <c r="W72" s="157"/>
      <c r="X72" s="157"/>
      <c r="Y72" s="157"/>
      <c r="Z72" s="157"/>
      <c r="AA72" s="157"/>
      <c r="AB72" s="157"/>
      <c r="AC72" s="157"/>
      <c r="AD72" s="157"/>
      <c r="AE72" s="157"/>
      <c r="AF72" s="165"/>
      <c r="AI72" s="109" t="str">
        <f>"A6:field174:"&amp;IF(I72="■",1,IF(L72="■",2,IF(O72="■",3,0)))</f>
        <v>A6:field174:0</v>
      </c>
    </row>
    <row r="73" spans="1:35" ht="18.75" customHeight="1" x14ac:dyDescent="0.2">
      <c r="A73" s="183"/>
      <c r="B73" s="184"/>
      <c r="C73" s="185"/>
      <c r="D73" s="186"/>
      <c r="E73" s="189"/>
      <c r="F73" s="276"/>
      <c r="G73" s="193"/>
      <c r="H73" s="271" t="s">
        <v>197</v>
      </c>
      <c r="I73" s="339" t="s">
        <v>383</v>
      </c>
      <c r="J73" s="222" t="s">
        <v>250</v>
      </c>
      <c r="K73" s="222"/>
      <c r="L73" s="340" t="s">
        <v>383</v>
      </c>
      <c r="M73" s="222" t="s">
        <v>267</v>
      </c>
      <c r="N73" s="311"/>
      <c r="O73" s="222"/>
      <c r="P73" s="222"/>
      <c r="Q73" s="222"/>
      <c r="R73" s="222"/>
      <c r="S73" s="222"/>
      <c r="T73" s="222"/>
      <c r="U73" s="222"/>
      <c r="V73" s="222"/>
      <c r="W73" s="222"/>
      <c r="X73" s="222"/>
      <c r="Y73" s="222"/>
      <c r="Z73" s="222"/>
      <c r="AA73" s="222"/>
      <c r="AB73" s="222"/>
      <c r="AC73" s="222"/>
      <c r="AD73" s="222"/>
      <c r="AE73" s="222"/>
      <c r="AF73" s="285"/>
      <c r="AI73" s="109" t="str">
        <f>"A6:field212:" &amp; IF(I73="■",1,IF(L73="■",2,0))</f>
        <v>A6:field212:0</v>
      </c>
    </row>
    <row r="74" spans="1:35" ht="8.25" customHeight="1" x14ac:dyDescent="0.2">
      <c r="A74" s="287"/>
      <c r="B74" s="287"/>
      <c r="G74" s="126"/>
      <c r="H74" s="126"/>
      <c r="I74" s="126"/>
      <c r="J74" s="126"/>
      <c r="K74" s="126"/>
      <c r="L74" s="126"/>
      <c r="M74" s="126"/>
      <c r="N74" s="126"/>
      <c r="O74" s="126"/>
      <c r="P74" s="126"/>
      <c r="Q74" s="126"/>
      <c r="R74" s="126"/>
      <c r="S74" s="126"/>
      <c r="T74" s="126"/>
      <c r="U74" s="126"/>
      <c r="V74" s="126"/>
      <c r="W74" s="126"/>
      <c r="X74" s="126"/>
      <c r="Y74" s="126"/>
      <c r="Z74" s="126"/>
      <c r="AA74" s="126"/>
      <c r="AB74" s="126"/>
    </row>
    <row r="75" spans="1:35" ht="20.25" customHeight="1" x14ac:dyDescent="0.2">
      <c r="A75" s="286"/>
      <c r="B75" s="286"/>
      <c r="C75" s="126" t="s">
        <v>180</v>
      </c>
      <c r="D75" s="126"/>
      <c r="E75" s="287"/>
      <c r="F75" s="287"/>
      <c r="G75" s="287"/>
      <c r="H75" s="287"/>
      <c r="I75" s="287"/>
      <c r="J75" s="287"/>
      <c r="K75" s="287"/>
      <c r="L75" s="287"/>
      <c r="M75" s="287"/>
      <c r="N75" s="287"/>
      <c r="O75" s="287"/>
      <c r="P75" s="287"/>
      <c r="Q75" s="287"/>
      <c r="R75" s="287"/>
      <c r="S75" s="287"/>
      <c r="T75" s="287"/>
      <c r="U75" s="287"/>
      <c r="V75" s="287"/>
    </row>
    <row r="102" spans="12:12" ht="20.25" customHeight="1" x14ac:dyDescent="0.2">
      <c r="L102" s="151"/>
    </row>
  </sheetData>
  <mergeCells count="97">
    <mergeCell ref="H22:H23"/>
    <mergeCell ref="H35:H36"/>
    <mergeCell ref="H37:H38"/>
    <mergeCell ref="H62:H63"/>
    <mergeCell ref="I62:I63"/>
    <mergeCell ref="J62:L63"/>
    <mergeCell ref="M62:M63"/>
    <mergeCell ref="N62:P63"/>
    <mergeCell ref="H60:H61"/>
    <mergeCell ref="I60:I61"/>
    <mergeCell ref="J60:L61"/>
    <mergeCell ref="M60:M61"/>
    <mergeCell ref="N60:P61"/>
    <mergeCell ref="S55:S56"/>
    <mergeCell ref="T55:T56"/>
    <mergeCell ref="H57:H58"/>
    <mergeCell ref="I57:I58"/>
    <mergeCell ref="J57:L58"/>
    <mergeCell ref="M57:M58"/>
    <mergeCell ref="N57:P58"/>
    <mergeCell ref="Q57:Q58"/>
    <mergeCell ref="R57:R58"/>
    <mergeCell ref="S57:S58"/>
    <mergeCell ref="T57:T58"/>
    <mergeCell ref="Q53:Q54"/>
    <mergeCell ref="R53:R54"/>
    <mergeCell ref="S53:S54"/>
    <mergeCell ref="T53:T54"/>
    <mergeCell ref="H55:H56"/>
    <mergeCell ref="I55:I56"/>
    <mergeCell ref="J55:L56"/>
    <mergeCell ref="M55:M56"/>
    <mergeCell ref="N55:P56"/>
    <mergeCell ref="Q55:Q56"/>
    <mergeCell ref="H53:H54"/>
    <mergeCell ref="I53:I54"/>
    <mergeCell ref="J53:L54"/>
    <mergeCell ref="M53:M54"/>
    <mergeCell ref="N53:P54"/>
    <mergeCell ref="R55:R56"/>
    <mergeCell ref="S49:V49"/>
    <mergeCell ref="A51:C51"/>
    <mergeCell ref="D51:E51"/>
    <mergeCell ref="F51:G51"/>
    <mergeCell ref="H51:AF51"/>
    <mergeCell ref="A49:E49"/>
    <mergeCell ref="F49:J49"/>
    <mergeCell ref="K49:R49"/>
    <mergeCell ref="A47:AF47"/>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A5:E5"/>
    <mergeCell ref="F5:J5"/>
    <mergeCell ref="K5:R5"/>
  </mergeCells>
  <phoneticPr fontId="1"/>
  <conditionalFormatting sqref="A1:AF4 A6:AF20 A50:AF1048576 S49:AF49 A22:B22 A21:C21 E21:AF21 D21:D23 A24:AF34 A39:AF48 A35:H38 Y35:AF38">
    <cfRule type="expression" dxfId="12" priority="17">
      <formula>CELL("protect",A1)=0</formula>
    </cfRule>
  </conditionalFormatting>
  <conditionalFormatting sqref="S5:AF5">
    <cfRule type="expression" dxfId="11" priority="16">
      <formula>CELL("protect",S5)=0</formula>
    </cfRule>
  </conditionalFormatting>
  <conditionalFormatting sqref="A5:R5">
    <cfRule type="expression" dxfId="10" priority="15">
      <formula>CELL("protect",A5)=0</formula>
    </cfRule>
  </conditionalFormatting>
  <conditionalFormatting sqref="A49:R49">
    <cfRule type="expression" dxfId="9" priority="14">
      <formula>CELL("protect",A49)=0</formula>
    </cfRule>
  </conditionalFormatting>
  <dataValidations count="1">
    <dataValidation type="list" allowBlank="1" showInputMessage="1" showErrorMessage="1" sqref="Y8:Y9 A70 I8:I10 O32:O33 R32 I14 Q22:Q24 AC8:AC9 I12 L16 O72 A59 M17:M20 P22:P23 AC24:AC25 Y24:Y25 L59 I57 I52:I53 M60:M63 L64 M65:M67 M8:M15 L68:L73 I59:I73 I55 A29 M52:M58 I16:I38 A15 Q65:Q66 O42:O43 L21:L23 T37:U37 JH22:JH23 TD22:TD23 ACZ22:ACZ23 AMV22:AMV23 AWR22:AWR23 BGN22:BGN23 BQJ22:BQJ23 CAF22:CAF23 CKB22:CKB23 CTX22:CTX23 DDT22:DDT23 DNP22:DNP23 DXL22:DXL23 EHH22:EHH23 ERD22:ERD23 FAZ22:FAZ23 FKV22:FKV23 FUR22:FUR23 GEN22:GEN23 GOJ22:GOJ23 GYF22:GYF23 HIB22:HIB23 HRX22:HRX23 IBT22:IBT23 ILP22:ILP23 IVL22:IVL23 JFH22:JFH23 JPD22:JPD23 JYZ22:JYZ23 KIV22:KIV23 KSR22:KSR23 LCN22:LCN23 LMJ22:LMJ23 LWF22:LWF23 MGB22:MGB23 MPX22:MPX23 MZT22:MZT23 NJP22:NJP23 NTL22:NTL23 ODH22:ODH23 OND22:OND23 OWZ22:OWZ23 PGV22:PGV23 PQR22:PQR23 QAN22:QAN23 QKJ22:QKJ23 QUF22:QUF23 REB22:REB23 RNX22:RNX23 RXT22:RXT23 SHP22:SHP23 SRL22:SRL23 TBH22:TBH23 TLD22:TLD23 TUZ22:TUZ23 UEV22:UEV23 UOR22:UOR23 UYN22:UYN23 VIJ22:VIJ23 VSF22:VSF23 WCB22:WCB23 WLX22:WLX23 WVT22:WVT23 M22:M26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7:L38 S35:S38 U23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WCK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WMG38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WWC38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T35:U35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M35:M38 U38 U36">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3" id="{6228A2A3-E659-466F-8BF1-523853F4AB50}">
            <xm:f>CELL("protect",'別紙１－１'!A22)=0</xm:f>
            <x14:dxf>
              <fill>
                <patternFill>
                  <bgColor theme="9" tint="0.79998168889431442"/>
                </patternFill>
              </fill>
            </x14:dxf>
          </x14:cfRule>
          <xm:sqref>I22:I23 Y22:AF23 A23:C23 C22 E22:G23 M22:M23 Q22:Q23 U23</xm:sqref>
        </x14:conditionalFormatting>
        <x14:conditionalFormatting xmlns:xm="http://schemas.microsoft.com/office/excel/2006/main">
          <x14:cfRule type="expression" priority="8" id="{D4438616-4024-4969-AB9E-B3CACB28E00F}">
            <xm:f>CELL("protect",'別紙１－１'!I35)=0</xm:f>
            <x14:dxf>
              <fill>
                <patternFill>
                  <bgColor theme="9" tint="0.79998168889431442"/>
                </patternFill>
              </fill>
            </x14:dxf>
          </x14:cfRule>
          <xm:sqref>I35:I36 M35:M36 Q35</xm:sqref>
        </x14:conditionalFormatting>
        <x14:conditionalFormatting xmlns:xm="http://schemas.microsoft.com/office/excel/2006/main">
          <x14:cfRule type="expression" priority="6" id="{400DBFAC-9B6E-4896-A5A5-77EA950763BD}">
            <xm:f>CELL("protect",'別紙１－１'!I37)=0</xm:f>
            <x14:dxf>
              <fill>
                <patternFill>
                  <bgColor theme="9" tint="0.79998168889431442"/>
                </patternFill>
              </fill>
            </x14:dxf>
          </x14:cfRule>
          <xm:sqref>I37:I38 M37</xm:sqref>
        </x14:conditionalFormatting>
        <x14:conditionalFormatting xmlns:xm="http://schemas.microsoft.com/office/excel/2006/main">
          <x14:cfRule type="expression" priority="5" id="{28AF3EDF-B579-4294-A019-D479370488C8}">
            <xm:f>CELL("protect",'別紙１－１'!M38)=0</xm:f>
            <x14:dxf>
              <fill>
                <patternFill>
                  <bgColor theme="9" tint="0.79998168889431442"/>
                </patternFill>
              </fill>
            </x14:dxf>
          </x14:cfRule>
          <xm:sqref>M38</xm:sqref>
        </x14:conditionalFormatting>
        <x14:conditionalFormatting xmlns:xm="http://schemas.microsoft.com/office/excel/2006/main">
          <x14:cfRule type="expression" priority="4" id="{039A2660-903E-43B8-B232-126E9C7D0548}">
            <xm:f>CELL("protect",'別紙１－１'!Q37)=0</xm:f>
            <x14:dxf>
              <fill>
                <patternFill>
                  <bgColor theme="9" tint="0.79998168889431442"/>
                </patternFill>
              </fill>
            </x14:dxf>
          </x14:cfRule>
          <xm:sqref>Q37:Q38</xm:sqref>
        </x14:conditionalFormatting>
        <x14:conditionalFormatting xmlns:xm="http://schemas.microsoft.com/office/excel/2006/main">
          <x14:cfRule type="expression" priority="3" id="{CE37C992-B764-4578-88D5-AF9BCF200F97}">
            <xm:f>CELL("protect",'別紙１－１'!U38)=0</xm:f>
            <x14:dxf>
              <fill>
                <patternFill>
                  <bgColor theme="9" tint="0.79998168889431442"/>
                </patternFill>
              </fill>
            </x14:dxf>
          </x14:cfRule>
          <xm:sqref>U38</xm:sqref>
        </x14:conditionalFormatting>
        <x14:conditionalFormatting xmlns:xm="http://schemas.microsoft.com/office/excel/2006/main">
          <x14:cfRule type="expression" priority="2" id="{76DEB5A7-4BE7-4488-AD39-C21E52F9F942}">
            <xm:f>CELL("protect",'別紙１－１'!Q36)=0</xm:f>
            <x14:dxf>
              <fill>
                <patternFill>
                  <bgColor theme="9" tint="0.79998168889431442"/>
                </patternFill>
              </fill>
            </x14:dxf>
          </x14:cfRule>
          <xm:sqref>Q36</xm:sqref>
        </x14:conditionalFormatting>
        <x14:conditionalFormatting xmlns:xm="http://schemas.microsoft.com/office/excel/2006/main">
          <x14:cfRule type="expression" priority="1" id="{698942AE-82D8-4A38-AD0E-979CEA1DC27F}">
            <xm:f>CELL("protect",'別紙１－１'!U36)=0</xm:f>
            <x14:dxf>
              <fill>
                <patternFill>
                  <bgColor theme="9" tint="0.79998168889431442"/>
                </patternFill>
              </fill>
            </x14:dxf>
          </x14:cfRule>
          <xm:sqref>U36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66" t="s">
        <v>72</v>
      </c>
      <c r="AA3" s="867"/>
      <c r="AB3" s="867"/>
      <c r="AC3" s="867"/>
      <c r="AD3" s="868"/>
      <c r="AE3" s="963"/>
      <c r="AF3" s="964"/>
      <c r="AG3" s="964"/>
      <c r="AH3" s="964"/>
      <c r="AI3" s="964"/>
      <c r="AJ3" s="964"/>
      <c r="AK3" s="964"/>
      <c r="AL3" s="965"/>
      <c r="AM3" s="20"/>
      <c r="AN3" s="1"/>
    </row>
    <row r="4" spans="2:40" s="2" customFormat="1" x14ac:dyDescent="0.2">
      <c r="AN4" s="21"/>
    </row>
    <row r="5" spans="2:40" s="2" customFormat="1" x14ac:dyDescent="0.2">
      <c r="B5" s="966" t="s">
        <v>43</v>
      </c>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row>
    <row r="6" spans="2:40" s="2" customFormat="1" ht="13.5" customHeight="1" x14ac:dyDescent="0.2">
      <c r="AC6" s="1"/>
      <c r="AD6" s="45"/>
      <c r="AE6" s="45" t="s">
        <v>30</v>
      </c>
      <c r="AH6" s="2" t="s">
        <v>36</v>
      </c>
      <c r="AJ6" s="2" t="s">
        <v>32</v>
      </c>
      <c r="AL6" s="2" t="s">
        <v>31</v>
      </c>
    </row>
    <row r="7" spans="2:40" s="2" customFormat="1" x14ac:dyDescent="0.2">
      <c r="B7" s="966" t="s">
        <v>73</v>
      </c>
      <c r="C7" s="966"/>
      <c r="D7" s="966"/>
      <c r="E7" s="966"/>
      <c r="F7" s="966"/>
      <c r="G7" s="966"/>
      <c r="H7" s="966"/>
      <c r="I7" s="966"/>
      <c r="J7" s="966"/>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873" t="s">
        <v>74</v>
      </c>
      <c r="C11" s="941" t="s">
        <v>8</v>
      </c>
      <c r="D11" s="942"/>
      <c r="E11" s="942"/>
      <c r="F11" s="942"/>
      <c r="G11" s="942"/>
      <c r="H11" s="942"/>
      <c r="I11" s="942"/>
      <c r="J11" s="942"/>
      <c r="K11" s="9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874"/>
      <c r="C12" s="944" t="s">
        <v>75</v>
      </c>
      <c r="D12" s="813"/>
      <c r="E12" s="813"/>
      <c r="F12" s="813"/>
      <c r="G12" s="813"/>
      <c r="H12" s="813"/>
      <c r="I12" s="813"/>
      <c r="J12" s="813"/>
      <c r="K12" s="8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874"/>
      <c r="C13" s="941" t="s">
        <v>9</v>
      </c>
      <c r="D13" s="942"/>
      <c r="E13" s="942"/>
      <c r="F13" s="942"/>
      <c r="G13" s="942"/>
      <c r="H13" s="942"/>
      <c r="I13" s="942"/>
      <c r="J13" s="942"/>
      <c r="K13" s="943"/>
      <c r="L13" s="931" t="s">
        <v>76</v>
      </c>
      <c r="M13" s="932"/>
      <c r="N13" s="932"/>
      <c r="O13" s="932"/>
      <c r="P13" s="932"/>
      <c r="Q13" s="932"/>
      <c r="R13" s="932"/>
      <c r="S13" s="932"/>
      <c r="T13" s="932"/>
      <c r="U13" s="932"/>
      <c r="V13" s="932"/>
      <c r="W13" s="932"/>
      <c r="X13" s="932"/>
      <c r="Y13" s="932"/>
      <c r="Z13" s="932"/>
      <c r="AA13" s="932"/>
      <c r="AB13" s="932"/>
      <c r="AC13" s="932"/>
      <c r="AD13" s="932"/>
      <c r="AE13" s="932"/>
      <c r="AF13" s="932"/>
      <c r="AG13" s="932"/>
      <c r="AH13" s="932"/>
      <c r="AI13" s="932"/>
      <c r="AJ13" s="932"/>
      <c r="AK13" s="932"/>
      <c r="AL13" s="933"/>
    </row>
    <row r="14" spans="2:40" s="2" customFormat="1" x14ac:dyDescent="0.2">
      <c r="B14" s="874"/>
      <c r="C14" s="944"/>
      <c r="D14" s="813"/>
      <c r="E14" s="813"/>
      <c r="F14" s="813"/>
      <c r="G14" s="813"/>
      <c r="H14" s="813"/>
      <c r="I14" s="813"/>
      <c r="J14" s="813"/>
      <c r="K14" s="945"/>
      <c r="L14" s="934" t="s">
        <v>77</v>
      </c>
      <c r="M14" s="935"/>
      <c r="N14" s="935"/>
      <c r="O14" s="935"/>
      <c r="P14" s="935"/>
      <c r="Q14" s="935"/>
      <c r="R14" s="935"/>
      <c r="S14" s="935"/>
      <c r="T14" s="935"/>
      <c r="U14" s="935"/>
      <c r="V14" s="935"/>
      <c r="W14" s="935"/>
      <c r="X14" s="935"/>
      <c r="Y14" s="935"/>
      <c r="Z14" s="935"/>
      <c r="AA14" s="935"/>
      <c r="AB14" s="935"/>
      <c r="AC14" s="935"/>
      <c r="AD14" s="935"/>
      <c r="AE14" s="935"/>
      <c r="AF14" s="935"/>
      <c r="AG14" s="935"/>
      <c r="AH14" s="935"/>
      <c r="AI14" s="935"/>
      <c r="AJ14" s="935"/>
      <c r="AK14" s="935"/>
      <c r="AL14" s="936"/>
    </row>
    <row r="15" spans="2:40" s="2" customFormat="1" x14ac:dyDescent="0.2">
      <c r="B15" s="874"/>
      <c r="C15" s="946"/>
      <c r="D15" s="947"/>
      <c r="E15" s="947"/>
      <c r="F15" s="947"/>
      <c r="G15" s="947"/>
      <c r="H15" s="947"/>
      <c r="I15" s="947"/>
      <c r="J15" s="947"/>
      <c r="K15" s="948"/>
      <c r="L15" s="959" t="s">
        <v>78</v>
      </c>
      <c r="M15" s="939"/>
      <c r="N15" s="939"/>
      <c r="O15" s="939"/>
      <c r="P15" s="939"/>
      <c r="Q15" s="939"/>
      <c r="R15" s="939"/>
      <c r="S15" s="939"/>
      <c r="T15" s="939"/>
      <c r="U15" s="939"/>
      <c r="V15" s="939"/>
      <c r="W15" s="939"/>
      <c r="X15" s="939"/>
      <c r="Y15" s="939"/>
      <c r="Z15" s="939"/>
      <c r="AA15" s="939"/>
      <c r="AB15" s="939"/>
      <c r="AC15" s="939"/>
      <c r="AD15" s="939"/>
      <c r="AE15" s="939"/>
      <c r="AF15" s="939"/>
      <c r="AG15" s="939"/>
      <c r="AH15" s="939"/>
      <c r="AI15" s="939"/>
      <c r="AJ15" s="939"/>
      <c r="AK15" s="939"/>
      <c r="AL15" s="940"/>
    </row>
    <row r="16" spans="2:40" s="2" customFormat="1" ht="14.25" customHeight="1" x14ac:dyDescent="0.2">
      <c r="B16" s="874"/>
      <c r="C16" s="960" t="s">
        <v>79</v>
      </c>
      <c r="D16" s="961"/>
      <c r="E16" s="961"/>
      <c r="F16" s="961"/>
      <c r="G16" s="961"/>
      <c r="H16" s="961"/>
      <c r="I16" s="961"/>
      <c r="J16" s="961"/>
      <c r="K16" s="962"/>
      <c r="L16" s="866" t="s">
        <v>10</v>
      </c>
      <c r="M16" s="867"/>
      <c r="N16" s="867"/>
      <c r="O16" s="867"/>
      <c r="P16" s="868"/>
      <c r="Q16" s="24"/>
      <c r="R16" s="25"/>
      <c r="S16" s="25"/>
      <c r="T16" s="25"/>
      <c r="U16" s="25"/>
      <c r="V16" s="25"/>
      <c r="W16" s="25"/>
      <c r="X16" s="25"/>
      <c r="Y16" s="26"/>
      <c r="Z16" s="950" t="s">
        <v>11</v>
      </c>
      <c r="AA16" s="951"/>
      <c r="AB16" s="951"/>
      <c r="AC16" s="951"/>
      <c r="AD16" s="952"/>
      <c r="AE16" s="28"/>
      <c r="AF16" s="32"/>
      <c r="AG16" s="22"/>
      <c r="AH16" s="22"/>
      <c r="AI16" s="22"/>
      <c r="AJ16" s="932"/>
      <c r="AK16" s="932"/>
      <c r="AL16" s="933"/>
    </row>
    <row r="17" spans="2:40" ht="14.25" customHeight="1" x14ac:dyDescent="0.2">
      <c r="B17" s="874"/>
      <c r="C17" s="955" t="s">
        <v>55</v>
      </c>
      <c r="D17" s="956"/>
      <c r="E17" s="956"/>
      <c r="F17" s="956"/>
      <c r="G17" s="956"/>
      <c r="H17" s="956"/>
      <c r="I17" s="956"/>
      <c r="J17" s="956"/>
      <c r="K17" s="957"/>
      <c r="L17" s="27"/>
      <c r="M17" s="27"/>
      <c r="N17" s="27"/>
      <c r="O17" s="27"/>
      <c r="P17" s="27"/>
      <c r="Q17" s="27"/>
      <c r="R17" s="27"/>
      <c r="S17" s="27"/>
      <c r="U17" s="866" t="s">
        <v>12</v>
      </c>
      <c r="V17" s="867"/>
      <c r="W17" s="867"/>
      <c r="X17" s="867"/>
      <c r="Y17" s="868"/>
      <c r="Z17" s="18"/>
      <c r="AA17" s="19"/>
      <c r="AB17" s="19"/>
      <c r="AC17" s="19"/>
      <c r="AD17" s="19"/>
      <c r="AE17" s="958"/>
      <c r="AF17" s="958"/>
      <c r="AG17" s="958"/>
      <c r="AH17" s="958"/>
      <c r="AI17" s="958"/>
      <c r="AJ17" s="958"/>
      <c r="AK17" s="958"/>
      <c r="AL17" s="17"/>
      <c r="AN17" s="3"/>
    </row>
    <row r="18" spans="2:40" ht="14.25" customHeight="1" x14ac:dyDescent="0.2">
      <c r="B18" s="874"/>
      <c r="C18" s="869" t="s">
        <v>13</v>
      </c>
      <c r="D18" s="869"/>
      <c r="E18" s="869"/>
      <c r="F18" s="869"/>
      <c r="G18" s="869"/>
      <c r="H18" s="970"/>
      <c r="I18" s="970"/>
      <c r="J18" s="970"/>
      <c r="K18" s="971"/>
      <c r="L18" s="866" t="s">
        <v>14</v>
      </c>
      <c r="M18" s="867"/>
      <c r="N18" s="867"/>
      <c r="O18" s="867"/>
      <c r="P18" s="868"/>
      <c r="Q18" s="29"/>
      <c r="R18" s="30"/>
      <c r="S18" s="30"/>
      <c r="T18" s="30"/>
      <c r="U18" s="30"/>
      <c r="V18" s="30"/>
      <c r="W18" s="30"/>
      <c r="X18" s="30"/>
      <c r="Y18" s="31"/>
      <c r="Z18" s="877" t="s">
        <v>15</v>
      </c>
      <c r="AA18" s="877"/>
      <c r="AB18" s="877"/>
      <c r="AC18" s="877"/>
      <c r="AD18" s="878"/>
      <c r="AE18" s="15"/>
      <c r="AF18" s="16"/>
      <c r="AG18" s="16"/>
      <c r="AH18" s="16"/>
      <c r="AI18" s="16"/>
      <c r="AJ18" s="16"/>
      <c r="AK18" s="16"/>
      <c r="AL18" s="17"/>
      <c r="AN18" s="3"/>
    </row>
    <row r="19" spans="2:40" ht="13.5" customHeight="1" x14ac:dyDescent="0.2">
      <c r="B19" s="874"/>
      <c r="C19" s="929" t="s">
        <v>16</v>
      </c>
      <c r="D19" s="929"/>
      <c r="E19" s="929"/>
      <c r="F19" s="929"/>
      <c r="G19" s="929"/>
      <c r="H19" s="967"/>
      <c r="I19" s="967"/>
      <c r="J19" s="967"/>
      <c r="K19" s="967"/>
      <c r="L19" s="931" t="s">
        <v>76</v>
      </c>
      <c r="M19" s="932"/>
      <c r="N19" s="932"/>
      <c r="O19" s="932"/>
      <c r="P19" s="932"/>
      <c r="Q19" s="932"/>
      <c r="R19" s="932"/>
      <c r="S19" s="932"/>
      <c r="T19" s="932"/>
      <c r="U19" s="932"/>
      <c r="V19" s="932"/>
      <c r="W19" s="932"/>
      <c r="X19" s="932"/>
      <c r="Y19" s="932"/>
      <c r="Z19" s="932"/>
      <c r="AA19" s="932"/>
      <c r="AB19" s="932"/>
      <c r="AC19" s="932"/>
      <c r="AD19" s="932"/>
      <c r="AE19" s="932"/>
      <c r="AF19" s="932"/>
      <c r="AG19" s="932"/>
      <c r="AH19" s="932"/>
      <c r="AI19" s="932"/>
      <c r="AJ19" s="932"/>
      <c r="AK19" s="932"/>
      <c r="AL19" s="933"/>
      <c r="AN19" s="3"/>
    </row>
    <row r="20" spans="2:40" ht="14.25" customHeight="1" x14ac:dyDescent="0.2">
      <c r="B20" s="874"/>
      <c r="C20" s="929"/>
      <c r="D20" s="929"/>
      <c r="E20" s="929"/>
      <c r="F20" s="929"/>
      <c r="G20" s="929"/>
      <c r="H20" s="967"/>
      <c r="I20" s="967"/>
      <c r="J20" s="967"/>
      <c r="K20" s="967"/>
      <c r="L20" s="934" t="s">
        <v>77</v>
      </c>
      <c r="M20" s="935"/>
      <c r="N20" s="935"/>
      <c r="O20" s="935"/>
      <c r="P20" s="935"/>
      <c r="Q20" s="935"/>
      <c r="R20" s="935"/>
      <c r="S20" s="935"/>
      <c r="T20" s="935"/>
      <c r="U20" s="935"/>
      <c r="V20" s="935"/>
      <c r="W20" s="935"/>
      <c r="X20" s="935"/>
      <c r="Y20" s="935"/>
      <c r="Z20" s="935"/>
      <c r="AA20" s="935"/>
      <c r="AB20" s="935"/>
      <c r="AC20" s="935"/>
      <c r="AD20" s="935"/>
      <c r="AE20" s="935"/>
      <c r="AF20" s="935"/>
      <c r="AG20" s="935"/>
      <c r="AH20" s="935"/>
      <c r="AI20" s="935"/>
      <c r="AJ20" s="935"/>
      <c r="AK20" s="935"/>
      <c r="AL20" s="936"/>
      <c r="AN20" s="3"/>
    </row>
    <row r="21" spans="2:40" x14ac:dyDescent="0.2">
      <c r="B21" s="875"/>
      <c r="C21" s="968"/>
      <c r="D21" s="968"/>
      <c r="E21" s="968"/>
      <c r="F21" s="968"/>
      <c r="G21" s="968"/>
      <c r="H21" s="969"/>
      <c r="I21" s="969"/>
      <c r="J21" s="969"/>
      <c r="K21" s="969"/>
      <c r="L21" s="937"/>
      <c r="M21" s="938"/>
      <c r="N21" s="938"/>
      <c r="O21" s="938"/>
      <c r="P21" s="938"/>
      <c r="Q21" s="938"/>
      <c r="R21" s="938"/>
      <c r="S21" s="938"/>
      <c r="T21" s="938"/>
      <c r="U21" s="938"/>
      <c r="V21" s="938"/>
      <c r="W21" s="938"/>
      <c r="X21" s="938"/>
      <c r="Y21" s="938"/>
      <c r="Z21" s="938"/>
      <c r="AA21" s="938"/>
      <c r="AB21" s="938"/>
      <c r="AC21" s="938"/>
      <c r="AD21" s="938"/>
      <c r="AE21" s="938"/>
      <c r="AF21" s="938"/>
      <c r="AG21" s="938"/>
      <c r="AH21" s="938"/>
      <c r="AI21" s="938"/>
      <c r="AJ21" s="938"/>
      <c r="AK21" s="938"/>
      <c r="AL21" s="949"/>
      <c r="AN21" s="3"/>
    </row>
    <row r="22" spans="2:40" ht="13.5" customHeight="1" x14ac:dyDescent="0.2">
      <c r="B22" s="893" t="s">
        <v>80</v>
      </c>
      <c r="C22" s="941" t="s">
        <v>127</v>
      </c>
      <c r="D22" s="942"/>
      <c r="E22" s="942"/>
      <c r="F22" s="942"/>
      <c r="G22" s="942"/>
      <c r="H22" s="942"/>
      <c r="I22" s="942"/>
      <c r="J22" s="942"/>
      <c r="K22" s="943"/>
      <c r="L22" s="931" t="s">
        <v>76</v>
      </c>
      <c r="M22" s="932"/>
      <c r="N22" s="932"/>
      <c r="O22" s="932"/>
      <c r="P22" s="932"/>
      <c r="Q22" s="932"/>
      <c r="R22" s="932"/>
      <c r="S22" s="932"/>
      <c r="T22" s="932"/>
      <c r="U22" s="932"/>
      <c r="V22" s="932"/>
      <c r="W22" s="932"/>
      <c r="X22" s="932"/>
      <c r="Y22" s="932"/>
      <c r="Z22" s="932"/>
      <c r="AA22" s="932"/>
      <c r="AB22" s="932"/>
      <c r="AC22" s="932"/>
      <c r="AD22" s="932"/>
      <c r="AE22" s="932"/>
      <c r="AF22" s="932"/>
      <c r="AG22" s="932"/>
      <c r="AH22" s="932"/>
      <c r="AI22" s="932"/>
      <c r="AJ22" s="932"/>
      <c r="AK22" s="932"/>
      <c r="AL22" s="933"/>
      <c r="AN22" s="3"/>
    </row>
    <row r="23" spans="2:40" ht="14.25" customHeight="1" x14ac:dyDescent="0.2">
      <c r="B23" s="894"/>
      <c r="C23" s="944"/>
      <c r="D23" s="813"/>
      <c r="E23" s="813"/>
      <c r="F23" s="813"/>
      <c r="G23" s="813"/>
      <c r="H23" s="813"/>
      <c r="I23" s="813"/>
      <c r="J23" s="813"/>
      <c r="K23" s="945"/>
      <c r="L23" s="934" t="s">
        <v>77</v>
      </c>
      <c r="M23" s="935"/>
      <c r="N23" s="935"/>
      <c r="O23" s="935"/>
      <c r="P23" s="935"/>
      <c r="Q23" s="935"/>
      <c r="R23" s="935"/>
      <c r="S23" s="935"/>
      <c r="T23" s="935"/>
      <c r="U23" s="935"/>
      <c r="V23" s="935"/>
      <c r="W23" s="935"/>
      <c r="X23" s="935"/>
      <c r="Y23" s="935"/>
      <c r="Z23" s="935"/>
      <c r="AA23" s="935"/>
      <c r="AB23" s="935"/>
      <c r="AC23" s="935"/>
      <c r="AD23" s="935"/>
      <c r="AE23" s="935"/>
      <c r="AF23" s="935"/>
      <c r="AG23" s="935"/>
      <c r="AH23" s="935"/>
      <c r="AI23" s="935"/>
      <c r="AJ23" s="935"/>
      <c r="AK23" s="935"/>
      <c r="AL23" s="936"/>
      <c r="AN23" s="3"/>
    </row>
    <row r="24" spans="2:40" x14ac:dyDescent="0.2">
      <c r="B24" s="894"/>
      <c r="C24" s="946"/>
      <c r="D24" s="947"/>
      <c r="E24" s="947"/>
      <c r="F24" s="947"/>
      <c r="G24" s="947"/>
      <c r="H24" s="947"/>
      <c r="I24" s="947"/>
      <c r="J24" s="947"/>
      <c r="K24" s="948"/>
      <c r="L24" s="937"/>
      <c r="M24" s="938"/>
      <c r="N24" s="938"/>
      <c r="O24" s="938"/>
      <c r="P24" s="938"/>
      <c r="Q24" s="938"/>
      <c r="R24" s="938"/>
      <c r="S24" s="938"/>
      <c r="T24" s="938"/>
      <c r="U24" s="938"/>
      <c r="V24" s="938"/>
      <c r="W24" s="938"/>
      <c r="X24" s="938"/>
      <c r="Y24" s="938"/>
      <c r="Z24" s="938"/>
      <c r="AA24" s="938"/>
      <c r="AB24" s="938"/>
      <c r="AC24" s="938"/>
      <c r="AD24" s="938"/>
      <c r="AE24" s="938"/>
      <c r="AF24" s="938"/>
      <c r="AG24" s="938"/>
      <c r="AH24" s="938"/>
      <c r="AI24" s="938"/>
      <c r="AJ24" s="938"/>
      <c r="AK24" s="938"/>
      <c r="AL24" s="949"/>
      <c r="AN24" s="3"/>
    </row>
    <row r="25" spans="2:40" ht="14.25" customHeight="1" x14ac:dyDescent="0.2">
      <c r="B25" s="894"/>
      <c r="C25" s="929" t="s">
        <v>79</v>
      </c>
      <c r="D25" s="929"/>
      <c r="E25" s="929"/>
      <c r="F25" s="929"/>
      <c r="G25" s="929"/>
      <c r="H25" s="929"/>
      <c r="I25" s="929"/>
      <c r="J25" s="929"/>
      <c r="K25" s="929"/>
      <c r="L25" s="866" t="s">
        <v>10</v>
      </c>
      <c r="M25" s="867"/>
      <c r="N25" s="867"/>
      <c r="O25" s="867"/>
      <c r="P25" s="868"/>
      <c r="Q25" s="24"/>
      <c r="R25" s="25"/>
      <c r="S25" s="25"/>
      <c r="T25" s="25"/>
      <c r="U25" s="25"/>
      <c r="V25" s="25"/>
      <c r="W25" s="25"/>
      <c r="X25" s="25"/>
      <c r="Y25" s="26"/>
      <c r="Z25" s="950" t="s">
        <v>11</v>
      </c>
      <c r="AA25" s="951"/>
      <c r="AB25" s="951"/>
      <c r="AC25" s="951"/>
      <c r="AD25" s="952"/>
      <c r="AE25" s="28"/>
      <c r="AF25" s="32"/>
      <c r="AG25" s="22"/>
      <c r="AH25" s="22"/>
      <c r="AI25" s="22"/>
      <c r="AJ25" s="932"/>
      <c r="AK25" s="932"/>
      <c r="AL25" s="933"/>
      <c r="AN25" s="3"/>
    </row>
    <row r="26" spans="2:40" ht="13.5" customHeight="1" x14ac:dyDescent="0.2">
      <c r="B26" s="894"/>
      <c r="C26" s="953" t="s">
        <v>17</v>
      </c>
      <c r="D26" s="953"/>
      <c r="E26" s="953"/>
      <c r="F26" s="953"/>
      <c r="G26" s="953"/>
      <c r="H26" s="953"/>
      <c r="I26" s="953"/>
      <c r="J26" s="953"/>
      <c r="K26" s="953"/>
      <c r="L26" s="931" t="s">
        <v>76</v>
      </c>
      <c r="M26" s="932"/>
      <c r="N26" s="932"/>
      <c r="O26" s="932"/>
      <c r="P26" s="932"/>
      <c r="Q26" s="932"/>
      <c r="R26" s="932"/>
      <c r="S26" s="932"/>
      <c r="T26" s="932"/>
      <c r="U26" s="932"/>
      <c r="V26" s="932"/>
      <c r="W26" s="932"/>
      <c r="X26" s="932"/>
      <c r="Y26" s="932"/>
      <c r="Z26" s="932"/>
      <c r="AA26" s="932"/>
      <c r="AB26" s="932"/>
      <c r="AC26" s="932"/>
      <c r="AD26" s="932"/>
      <c r="AE26" s="932"/>
      <c r="AF26" s="932"/>
      <c r="AG26" s="932"/>
      <c r="AH26" s="932"/>
      <c r="AI26" s="932"/>
      <c r="AJ26" s="932"/>
      <c r="AK26" s="932"/>
      <c r="AL26" s="933"/>
      <c r="AN26" s="3"/>
    </row>
    <row r="27" spans="2:40" ht="14.25" customHeight="1" x14ac:dyDescent="0.2">
      <c r="B27" s="894"/>
      <c r="C27" s="953"/>
      <c r="D27" s="953"/>
      <c r="E27" s="953"/>
      <c r="F27" s="953"/>
      <c r="G27" s="953"/>
      <c r="H27" s="953"/>
      <c r="I27" s="953"/>
      <c r="J27" s="953"/>
      <c r="K27" s="953"/>
      <c r="L27" s="934" t="s">
        <v>77</v>
      </c>
      <c r="M27" s="935"/>
      <c r="N27" s="935"/>
      <c r="O27" s="935"/>
      <c r="P27" s="935"/>
      <c r="Q27" s="935"/>
      <c r="R27" s="935"/>
      <c r="S27" s="935"/>
      <c r="T27" s="935"/>
      <c r="U27" s="935"/>
      <c r="V27" s="935"/>
      <c r="W27" s="935"/>
      <c r="X27" s="935"/>
      <c r="Y27" s="935"/>
      <c r="Z27" s="935"/>
      <c r="AA27" s="935"/>
      <c r="AB27" s="935"/>
      <c r="AC27" s="935"/>
      <c r="AD27" s="935"/>
      <c r="AE27" s="935"/>
      <c r="AF27" s="935"/>
      <c r="AG27" s="935"/>
      <c r="AH27" s="935"/>
      <c r="AI27" s="935"/>
      <c r="AJ27" s="935"/>
      <c r="AK27" s="935"/>
      <c r="AL27" s="936"/>
      <c r="AN27" s="3"/>
    </row>
    <row r="28" spans="2:40" x14ac:dyDescent="0.2">
      <c r="B28" s="894"/>
      <c r="C28" s="953"/>
      <c r="D28" s="953"/>
      <c r="E28" s="953"/>
      <c r="F28" s="953"/>
      <c r="G28" s="953"/>
      <c r="H28" s="953"/>
      <c r="I28" s="953"/>
      <c r="J28" s="953"/>
      <c r="K28" s="953"/>
      <c r="L28" s="937"/>
      <c r="M28" s="938"/>
      <c r="N28" s="938"/>
      <c r="O28" s="938"/>
      <c r="P28" s="938"/>
      <c r="Q28" s="938"/>
      <c r="R28" s="938"/>
      <c r="S28" s="938"/>
      <c r="T28" s="938"/>
      <c r="U28" s="938"/>
      <c r="V28" s="938"/>
      <c r="W28" s="938"/>
      <c r="X28" s="938"/>
      <c r="Y28" s="938"/>
      <c r="Z28" s="938"/>
      <c r="AA28" s="938"/>
      <c r="AB28" s="938"/>
      <c r="AC28" s="938"/>
      <c r="AD28" s="938"/>
      <c r="AE28" s="938"/>
      <c r="AF28" s="938"/>
      <c r="AG28" s="938"/>
      <c r="AH28" s="938"/>
      <c r="AI28" s="938"/>
      <c r="AJ28" s="938"/>
      <c r="AK28" s="938"/>
      <c r="AL28" s="949"/>
      <c r="AN28" s="3"/>
    </row>
    <row r="29" spans="2:40" ht="14.25" customHeight="1" x14ac:dyDescent="0.2">
      <c r="B29" s="894"/>
      <c r="C29" s="929" t="s">
        <v>79</v>
      </c>
      <c r="D29" s="929"/>
      <c r="E29" s="929"/>
      <c r="F29" s="929"/>
      <c r="G29" s="929"/>
      <c r="H29" s="929"/>
      <c r="I29" s="929"/>
      <c r="J29" s="929"/>
      <c r="K29" s="929"/>
      <c r="L29" s="866" t="s">
        <v>10</v>
      </c>
      <c r="M29" s="867"/>
      <c r="N29" s="867"/>
      <c r="O29" s="867"/>
      <c r="P29" s="868"/>
      <c r="Q29" s="28"/>
      <c r="R29" s="32"/>
      <c r="S29" s="32"/>
      <c r="T29" s="32"/>
      <c r="U29" s="32"/>
      <c r="V29" s="32"/>
      <c r="W29" s="32"/>
      <c r="X29" s="32"/>
      <c r="Y29" s="33"/>
      <c r="Z29" s="950" t="s">
        <v>11</v>
      </c>
      <c r="AA29" s="951"/>
      <c r="AB29" s="951"/>
      <c r="AC29" s="951"/>
      <c r="AD29" s="952"/>
      <c r="AE29" s="28"/>
      <c r="AF29" s="32"/>
      <c r="AG29" s="22"/>
      <c r="AH29" s="22"/>
      <c r="AI29" s="22"/>
      <c r="AJ29" s="932"/>
      <c r="AK29" s="932"/>
      <c r="AL29" s="933"/>
      <c r="AN29" s="3"/>
    </row>
    <row r="30" spans="2:40" ht="14.25" customHeight="1" x14ac:dyDescent="0.2">
      <c r="B30" s="894"/>
      <c r="C30" s="929" t="s">
        <v>18</v>
      </c>
      <c r="D30" s="929"/>
      <c r="E30" s="929"/>
      <c r="F30" s="929"/>
      <c r="G30" s="929"/>
      <c r="H30" s="929"/>
      <c r="I30" s="929"/>
      <c r="J30" s="929"/>
      <c r="K30" s="929"/>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30"/>
      <c r="AL30" s="930"/>
      <c r="AN30" s="3"/>
    </row>
    <row r="31" spans="2:40" ht="13.5" customHeight="1" x14ac:dyDescent="0.2">
      <c r="B31" s="894"/>
      <c r="C31" s="929" t="s">
        <v>19</v>
      </c>
      <c r="D31" s="929"/>
      <c r="E31" s="929"/>
      <c r="F31" s="929"/>
      <c r="G31" s="929"/>
      <c r="H31" s="929"/>
      <c r="I31" s="929"/>
      <c r="J31" s="929"/>
      <c r="K31" s="929"/>
      <c r="L31" s="931" t="s">
        <v>76</v>
      </c>
      <c r="M31" s="932"/>
      <c r="N31" s="932"/>
      <c r="O31" s="932"/>
      <c r="P31" s="932"/>
      <c r="Q31" s="932"/>
      <c r="R31" s="932"/>
      <c r="S31" s="932"/>
      <c r="T31" s="932"/>
      <c r="U31" s="932"/>
      <c r="V31" s="932"/>
      <c r="W31" s="932"/>
      <c r="X31" s="932"/>
      <c r="Y31" s="932"/>
      <c r="Z31" s="932"/>
      <c r="AA31" s="932"/>
      <c r="AB31" s="932"/>
      <c r="AC31" s="932"/>
      <c r="AD31" s="932"/>
      <c r="AE31" s="932"/>
      <c r="AF31" s="932"/>
      <c r="AG31" s="932"/>
      <c r="AH31" s="932"/>
      <c r="AI31" s="932"/>
      <c r="AJ31" s="932"/>
      <c r="AK31" s="932"/>
      <c r="AL31" s="933"/>
      <c r="AN31" s="3"/>
    </row>
    <row r="32" spans="2:40" ht="14.25" customHeight="1" x14ac:dyDescent="0.2">
      <c r="B32" s="894"/>
      <c r="C32" s="929"/>
      <c r="D32" s="929"/>
      <c r="E32" s="929"/>
      <c r="F32" s="929"/>
      <c r="G32" s="929"/>
      <c r="H32" s="929"/>
      <c r="I32" s="929"/>
      <c r="J32" s="929"/>
      <c r="K32" s="929"/>
      <c r="L32" s="934" t="s">
        <v>77</v>
      </c>
      <c r="M32" s="935"/>
      <c r="N32" s="935"/>
      <c r="O32" s="935"/>
      <c r="P32" s="935"/>
      <c r="Q32" s="935"/>
      <c r="R32" s="935"/>
      <c r="S32" s="935"/>
      <c r="T32" s="935"/>
      <c r="U32" s="935"/>
      <c r="V32" s="935"/>
      <c r="W32" s="935"/>
      <c r="X32" s="935"/>
      <c r="Y32" s="935"/>
      <c r="Z32" s="935"/>
      <c r="AA32" s="935"/>
      <c r="AB32" s="935"/>
      <c r="AC32" s="935"/>
      <c r="AD32" s="935"/>
      <c r="AE32" s="935"/>
      <c r="AF32" s="935"/>
      <c r="AG32" s="935"/>
      <c r="AH32" s="935"/>
      <c r="AI32" s="935"/>
      <c r="AJ32" s="935"/>
      <c r="AK32" s="935"/>
      <c r="AL32" s="936"/>
      <c r="AN32" s="3"/>
    </row>
    <row r="33" spans="2:40" x14ac:dyDescent="0.2">
      <c r="B33" s="895"/>
      <c r="C33" s="929"/>
      <c r="D33" s="929"/>
      <c r="E33" s="929"/>
      <c r="F33" s="929"/>
      <c r="G33" s="929"/>
      <c r="H33" s="929"/>
      <c r="I33" s="929"/>
      <c r="J33" s="929"/>
      <c r="K33" s="929"/>
      <c r="L33" s="937"/>
      <c r="M33" s="938"/>
      <c r="N33" s="939"/>
      <c r="O33" s="939"/>
      <c r="P33" s="939"/>
      <c r="Q33" s="939"/>
      <c r="R33" s="939"/>
      <c r="S33" s="939"/>
      <c r="T33" s="939"/>
      <c r="U33" s="939"/>
      <c r="V33" s="939"/>
      <c r="W33" s="939"/>
      <c r="X33" s="939"/>
      <c r="Y33" s="939"/>
      <c r="Z33" s="939"/>
      <c r="AA33" s="939"/>
      <c r="AB33" s="939"/>
      <c r="AC33" s="938"/>
      <c r="AD33" s="938"/>
      <c r="AE33" s="938"/>
      <c r="AF33" s="938"/>
      <c r="AG33" s="938"/>
      <c r="AH33" s="939"/>
      <c r="AI33" s="939"/>
      <c r="AJ33" s="939"/>
      <c r="AK33" s="939"/>
      <c r="AL33" s="940"/>
      <c r="AN33" s="3"/>
    </row>
    <row r="34" spans="2:40" ht="13.5" customHeight="1" x14ac:dyDescent="0.2">
      <c r="B34" s="893" t="s">
        <v>45</v>
      </c>
      <c r="C34" s="896" t="s">
        <v>81</v>
      </c>
      <c r="D34" s="897"/>
      <c r="E34" s="897"/>
      <c r="F34" s="897"/>
      <c r="G34" s="897"/>
      <c r="H34" s="897"/>
      <c r="I34" s="897"/>
      <c r="J34" s="897"/>
      <c r="K34" s="897"/>
      <c r="L34" s="897"/>
      <c r="M34" s="918" t="s">
        <v>20</v>
      </c>
      <c r="N34" s="883"/>
      <c r="O34" s="53" t="s">
        <v>47</v>
      </c>
      <c r="P34" s="49"/>
      <c r="Q34" s="50"/>
      <c r="R34" s="920" t="s">
        <v>21</v>
      </c>
      <c r="S34" s="921"/>
      <c r="T34" s="921"/>
      <c r="U34" s="921"/>
      <c r="V34" s="921"/>
      <c r="W34" s="921"/>
      <c r="X34" s="922"/>
      <c r="Y34" s="926" t="s">
        <v>57</v>
      </c>
      <c r="Z34" s="927"/>
      <c r="AA34" s="927"/>
      <c r="AB34" s="928"/>
      <c r="AC34" s="903" t="s">
        <v>58</v>
      </c>
      <c r="AD34" s="904"/>
      <c r="AE34" s="904"/>
      <c r="AF34" s="904"/>
      <c r="AG34" s="905"/>
      <c r="AH34" s="906" t="s">
        <v>52</v>
      </c>
      <c r="AI34" s="907"/>
      <c r="AJ34" s="907"/>
      <c r="AK34" s="907"/>
      <c r="AL34" s="908"/>
      <c r="AN34" s="3"/>
    </row>
    <row r="35" spans="2:40" ht="14.25" customHeight="1" x14ac:dyDescent="0.2">
      <c r="B35" s="894"/>
      <c r="C35" s="898"/>
      <c r="D35" s="899"/>
      <c r="E35" s="899"/>
      <c r="F35" s="899"/>
      <c r="G35" s="899"/>
      <c r="H35" s="899"/>
      <c r="I35" s="899"/>
      <c r="J35" s="899"/>
      <c r="K35" s="899"/>
      <c r="L35" s="899"/>
      <c r="M35" s="919"/>
      <c r="N35" s="886"/>
      <c r="O35" s="54" t="s">
        <v>48</v>
      </c>
      <c r="P35" s="51"/>
      <c r="Q35" s="52"/>
      <c r="R35" s="923"/>
      <c r="S35" s="924"/>
      <c r="T35" s="924"/>
      <c r="U35" s="924"/>
      <c r="V35" s="924"/>
      <c r="W35" s="924"/>
      <c r="X35" s="925"/>
      <c r="Y35" s="55" t="s">
        <v>33</v>
      </c>
      <c r="Z35" s="14"/>
      <c r="AA35" s="14"/>
      <c r="AB35" s="14"/>
      <c r="AC35" s="909" t="s">
        <v>34</v>
      </c>
      <c r="AD35" s="910"/>
      <c r="AE35" s="910"/>
      <c r="AF35" s="910"/>
      <c r="AG35" s="911"/>
      <c r="AH35" s="912" t="s">
        <v>53</v>
      </c>
      <c r="AI35" s="913"/>
      <c r="AJ35" s="913"/>
      <c r="AK35" s="913"/>
      <c r="AL35" s="914"/>
      <c r="AN35" s="3"/>
    </row>
    <row r="36" spans="2:40" ht="14.25" customHeight="1" x14ac:dyDescent="0.2">
      <c r="B36" s="894"/>
      <c r="C36" s="874"/>
      <c r="D36" s="68"/>
      <c r="E36" s="888" t="s">
        <v>2</v>
      </c>
      <c r="F36" s="888"/>
      <c r="G36" s="888"/>
      <c r="H36" s="888"/>
      <c r="I36" s="888"/>
      <c r="J36" s="888"/>
      <c r="K36" s="888"/>
      <c r="L36" s="90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894"/>
      <c r="C37" s="874"/>
      <c r="D37" s="68"/>
      <c r="E37" s="888" t="s">
        <v>3</v>
      </c>
      <c r="F37" s="889"/>
      <c r="G37" s="889"/>
      <c r="H37" s="889"/>
      <c r="I37" s="889"/>
      <c r="J37" s="889"/>
      <c r="K37" s="889"/>
      <c r="L37" s="89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894"/>
      <c r="C38" s="874"/>
      <c r="D38" s="68"/>
      <c r="E38" s="888" t="s">
        <v>5</v>
      </c>
      <c r="F38" s="889"/>
      <c r="G38" s="889"/>
      <c r="H38" s="889"/>
      <c r="I38" s="889"/>
      <c r="J38" s="889"/>
      <c r="K38" s="889"/>
      <c r="L38" s="89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894"/>
      <c r="C39" s="874"/>
      <c r="D39" s="68"/>
      <c r="E39" s="888" t="s">
        <v>7</v>
      </c>
      <c r="F39" s="889"/>
      <c r="G39" s="889"/>
      <c r="H39" s="889"/>
      <c r="I39" s="889"/>
      <c r="J39" s="889"/>
      <c r="K39" s="889"/>
      <c r="L39" s="89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894"/>
      <c r="C40" s="874"/>
      <c r="D40" s="68"/>
      <c r="E40" s="888" t="s">
        <v>6</v>
      </c>
      <c r="F40" s="889"/>
      <c r="G40" s="889"/>
      <c r="H40" s="889"/>
      <c r="I40" s="889"/>
      <c r="J40" s="889"/>
      <c r="K40" s="889"/>
      <c r="L40" s="89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894"/>
      <c r="C41" s="874"/>
      <c r="D41" s="69"/>
      <c r="E41" s="915" t="s">
        <v>46</v>
      </c>
      <c r="F41" s="916"/>
      <c r="G41" s="916"/>
      <c r="H41" s="916"/>
      <c r="I41" s="916"/>
      <c r="J41" s="916"/>
      <c r="K41" s="916"/>
      <c r="L41" s="917"/>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894"/>
      <c r="C42" s="874"/>
      <c r="D42" s="71"/>
      <c r="E42" s="900" t="s">
        <v>66</v>
      </c>
      <c r="F42" s="900"/>
      <c r="G42" s="900"/>
      <c r="H42" s="900"/>
      <c r="I42" s="900"/>
      <c r="J42" s="900"/>
      <c r="K42" s="900"/>
      <c r="L42" s="901"/>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894"/>
      <c r="C43" s="874"/>
      <c r="D43" s="68"/>
      <c r="E43" s="888" t="s">
        <v>67</v>
      </c>
      <c r="F43" s="889"/>
      <c r="G43" s="889"/>
      <c r="H43" s="889"/>
      <c r="I43" s="889"/>
      <c r="J43" s="889"/>
      <c r="K43" s="889"/>
      <c r="L43" s="89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894"/>
      <c r="C44" s="874"/>
      <c r="D44" s="68"/>
      <c r="E44" s="888" t="s">
        <v>68</v>
      </c>
      <c r="F44" s="889"/>
      <c r="G44" s="889"/>
      <c r="H44" s="889"/>
      <c r="I44" s="889"/>
      <c r="J44" s="889"/>
      <c r="K44" s="889"/>
      <c r="L44" s="89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894"/>
      <c r="C45" s="874"/>
      <c r="D45" s="68"/>
      <c r="E45" s="888" t="s">
        <v>69</v>
      </c>
      <c r="F45" s="889"/>
      <c r="G45" s="889"/>
      <c r="H45" s="889"/>
      <c r="I45" s="889"/>
      <c r="J45" s="889"/>
      <c r="K45" s="889"/>
      <c r="L45" s="89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894"/>
      <c r="C46" s="874"/>
      <c r="D46" s="68"/>
      <c r="E46" s="888" t="s">
        <v>70</v>
      </c>
      <c r="F46" s="889"/>
      <c r="G46" s="889"/>
      <c r="H46" s="889"/>
      <c r="I46" s="889"/>
      <c r="J46" s="889"/>
      <c r="K46" s="889"/>
      <c r="L46" s="89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895"/>
      <c r="C47" s="874"/>
      <c r="D47" s="68"/>
      <c r="E47" s="888" t="s">
        <v>71</v>
      </c>
      <c r="F47" s="889"/>
      <c r="G47" s="889"/>
      <c r="H47" s="889"/>
      <c r="I47" s="889"/>
      <c r="J47" s="889"/>
      <c r="K47" s="889"/>
      <c r="L47" s="89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891" t="s">
        <v>49</v>
      </c>
      <c r="C48" s="891"/>
      <c r="D48" s="891"/>
      <c r="E48" s="891"/>
      <c r="F48" s="891"/>
      <c r="G48" s="891"/>
      <c r="H48" s="891"/>
      <c r="I48" s="891"/>
      <c r="J48" s="891"/>
      <c r="K48" s="8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891" t="s">
        <v>50</v>
      </c>
      <c r="C49" s="891"/>
      <c r="D49" s="891"/>
      <c r="E49" s="891"/>
      <c r="F49" s="891"/>
      <c r="G49" s="891"/>
      <c r="H49" s="891"/>
      <c r="I49" s="891"/>
      <c r="J49" s="891"/>
      <c r="K49" s="89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869" t="s">
        <v>22</v>
      </c>
      <c r="C50" s="869"/>
      <c r="D50" s="869"/>
      <c r="E50" s="869"/>
      <c r="F50" s="869"/>
      <c r="G50" s="869"/>
      <c r="H50" s="869"/>
      <c r="I50" s="869"/>
      <c r="J50" s="869"/>
      <c r="K50" s="86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870" t="s">
        <v>51</v>
      </c>
      <c r="C51" s="870"/>
      <c r="D51" s="870"/>
      <c r="E51" s="870"/>
      <c r="F51" s="870"/>
      <c r="G51" s="870"/>
      <c r="H51" s="870"/>
      <c r="I51" s="870"/>
      <c r="J51" s="870"/>
      <c r="K51" s="8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871" t="s">
        <v>42</v>
      </c>
      <c r="C52" s="872"/>
      <c r="D52" s="872"/>
      <c r="E52" s="872"/>
      <c r="F52" s="872"/>
      <c r="G52" s="872"/>
      <c r="H52" s="872"/>
      <c r="I52" s="872"/>
      <c r="J52" s="872"/>
      <c r="K52" s="872"/>
      <c r="L52" s="872"/>
      <c r="M52" s="872"/>
      <c r="N52" s="8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873" t="s">
        <v>23</v>
      </c>
      <c r="C53" s="876" t="s">
        <v>82</v>
      </c>
      <c r="D53" s="877"/>
      <c r="E53" s="877"/>
      <c r="F53" s="877"/>
      <c r="G53" s="877"/>
      <c r="H53" s="877"/>
      <c r="I53" s="877"/>
      <c r="J53" s="877"/>
      <c r="K53" s="877"/>
      <c r="L53" s="877"/>
      <c r="M53" s="877"/>
      <c r="N53" s="877"/>
      <c r="O53" s="877"/>
      <c r="P53" s="877"/>
      <c r="Q53" s="877"/>
      <c r="R53" s="877"/>
      <c r="S53" s="877"/>
      <c r="T53" s="878"/>
      <c r="U53" s="876" t="s">
        <v>35</v>
      </c>
      <c r="V53" s="879"/>
      <c r="W53" s="879"/>
      <c r="X53" s="879"/>
      <c r="Y53" s="879"/>
      <c r="Z53" s="879"/>
      <c r="AA53" s="879"/>
      <c r="AB53" s="879"/>
      <c r="AC53" s="879"/>
      <c r="AD53" s="879"/>
      <c r="AE53" s="879"/>
      <c r="AF53" s="879"/>
      <c r="AG53" s="879"/>
      <c r="AH53" s="879"/>
      <c r="AI53" s="879"/>
      <c r="AJ53" s="879"/>
      <c r="AK53" s="879"/>
      <c r="AL53" s="880"/>
      <c r="AN53" s="3"/>
    </row>
    <row r="54" spans="2:40" x14ac:dyDescent="0.2">
      <c r="B54" s="874"/>
      <c r="C54" s="881"/>
      <c r="D54" s="882"/>
      <c r="E54" s="882"/>
      <c r="F54" s="882"/>
      <c r="G54" s="882"/>
      <c r="H54" s="882"/>
      <c r="I54" s="882"/>
      <c r="J54" s="882"/>
      <c r="K54" s="882"/>
      <c r="L54" s="882"/>
      <c r="M54" s="882"/>
      <c r="N54" s="882"/>
      <c r="O54" s="882"/>
      <c r="P54" s="882"/>
      <c r="Q54" s="882"/>
      <c r="R54" s="882"/>
      <c r="S54" s="882"/>
      <c r="T54" s="883"/>
      <c r="U54" s="881"/>
      <c r="V54" s="882"/>
      <c r="W54" s="882"/>
      <c r="X54" s="882"/>
      <c r="Y54" s="882"/>
      <c r="Z54" s="882"/>
      <c r="AA54" s="882"/>
      <c r="AB54" s="882"/>
      <c r="AC54" s="882"/>
      <c r="AD54" s="882"/>
      <c r="AE54" s="882"/>
      <c r="AF54" s="882"/>
      <c r="AG54" s="882"/>
      <c r="AH54" s="882"/>
      <c r="AI54" s="882"/>
      <c r="AJ54" s="882"/>
      <c r="AK54" s="882"/>
      <c r="AL54" s="883"/>
      <c r="AN54" s="3"/>
    </row>
    <row r="55" spans="2:40" x14ac:dyDescent="0.2">
      <c r="B55" s="874"/>
      <c r="C55" s="884"/>
      <c r="D55" s="885"/>
      <c r="E55" s="885"/>
      <c r="F55" s="885"/>
      <c r="G55" s="885"/>
      <c r="H55" s="885"/>
      <c r="I55" s="885"/>
      <c r="J55" s="885"/>
      <c r="K55" s="885"/>
      <c r="L55" s="885"/>
      <c r="M55" s="885"/>
      <c r="N55" s="885"/>
      <c r="O55" s="885"/>
      <c r="P55" s="885"/>
      <c r="Q55" s="885"/>
      <c r="R55" s="885"/>
      <c r="S55" s="885"/>
      <c r="T55" s="886"/>
      <c r="U55" s="884"/>
      <c r="V55" s="885"/>
      <c r="W55" s="885"/>
      <c r="X55" s="885"/>
      <c r="Y55" s="885"/>
      <c r="Z55" s="885"/>
      <c r="AA55" s="885"/>
      <c r="AB55" s="885"/>
      <c r="AC55" s="885"/>
      <c r="AD55" s="885"/>
      <c r="AE55" s="885"/>
      <c r="AF55" s="885"/>
      <c r="AG55" s="885"/>
      <c r="AH55" s="885"/>
      <c r="AI55" s="885"/>
      <c r="AJ55" s="885"/>
      <c r="AK55" s="885"/>
      <c r="AL55" s="886"/>
      <c r="AN55" s="3"/>
    </row>
    <row r="56" spans="2:40" x14ac:dyDescent="0.2">
      <c r="B56" s="874"/>
      <c r="C56" s="884"/>
      <c r="D56" s="885"/>
      <c r="E56" s="885"/>
      <c r="F56" s="885"/>
      <c r="G56" s="885"/>
      <c r="H56" s="885"/>
      <c r="I56" s="885"/>
      <c r="J56" s="885"/>
      <c r="K56" s="885"/>
      <c r="L56" s="885"/>
      <c r="M56" s="885"/>
      <c r="N56" s="885"/>
      <c r="O56" s="885"/>
      <c r="P56" s="885"/>
      <c r="Q56" s="885"/>
      <c r="R56" s="885"/>
      <c r="S56" s="885"/>
      <c r="T56" s="886"/>
      <c r="U56" s="884"/>
      <c r="V56" s="885"/>
      <c r="W56" s="885"/>
      <c r="X56" s="885"/>
      <c r="Y56" s="885"/>
      <c r="Z56" s="885"/>
      <c r="AA56" s="885"/>
      <c r="AB56" s="885"/>
      <c r="AC56" s="885"/>
      <c r="AD56" s="885"/>
      <c r="AE56" s="885"/>
      <c r="AF56" s="885"/>
      <c r="AG56" s="885"/>
      <c r="AH56" s="885"/>
      <c r="AI56" s="885"/>
      <c r="AJ56" s="885"/>
      <c r="AK56" s="885"/>
      <c r="AL56" s="886"/>
      <c r="AN56" s="3"/>
    </row>
    <row r="57" spans="2:40" x14ac:dyDescent="0.2">
      <c r="B57" s="875"/>
      <c r="C57" s="887"/>
      <c r="D57" s="879"/>
      <c r="E57" s="879"/>
      <c r="F57" s="879"/>
      <c r="G57" s="879"/>
      <c r="H57" s="879"/>
      <c r="I57" s="879"/>
      <c r="J57" s="879"/>
      <c r="K57" s="879"/>
      <c r="L57" s="879"/>
      <c r="M57" s="879"/>
      <c r="N57" s="879"/>
      <c r="O57" s="879"/>
      <c r="P57" s="879"/>
      <c r="Q57" s="879"/>
      <c r="R57" s="879"/>
      <c r="S57" s="879"/>
      <c r="T57" s="880"/>
      <c r="U57" s="887"/>
      <c r="V57" s="879"/>
      <c r="W57" s="879"/>
      <c r="X57" s="879"/>
      <c r="Y57" s="879"/>
      <c r="Z57" s="879"/>
      <c r="AA57" s="879"/>
      <c r="AB57" s="879"/>
      <c r="AC57" s="879"/>
      <c r="AD57" s="879"/>
      <c r="AE57" s="879"/>
      <c r="AF57" s="879"/>
      <c r="AG57" s="879"/>
      <c r="AH57" s="879"/>
      <c r="AI57" s="879"/>
      <c r="AJ57" s="879"/>
      <c r="AK57" s="879"/>
      <c r="AL57" s="880"/>
      <c r="AN57" s="3"/>
    </row>
    <row r="58" spans="2:40" ht="14.25" customHeight="1" x14ac:dyDescent="0.2">
      <c r="B58" s="866" t="s">
        <v>24</v>
      </c>
      <c r="C58" s="867"/>
      <c r="D58" s="867"/>
      <c r="E58" s="867"/>
      <c r="F58" s="868"/>
      <c r="G58" s="869" t="s">
        <v>25</v>
      </c>
      <c r="H58" s="869"/>
      <c r="I58" s="869"/>
      <c r="J58" s="869"/>
      <c r="K58" s="869"/>
      <c r="L58" s="869"/>
      <c r="M58" s="869"/>
      <c r="N58" s="869"/>
      <c r="O58" s="869"/>
      <c r="P58" s="869"/>
      <c r="Q58" s="869"/>
      <c r="R58" s="869"/>
      <c r="S58" s="869"/>
      <c r="T58" s="869"/>
      <c r="U58" s="869"/>
      <c r="V58" s="869"/>
      <c r="W58" s="869"/>
      <c r="X58" s="869"/>
      <c r="Y58" s="869"/>
      <c r="Z58" s="869"/>
      <c r="AA58" s="869"/>
      <c r="AB58" s="869"/>
      <c r="AC58" s="869"/>
      <c r="AD58" s="869"/>
      <c r="AE58" s="869"/>
      <c r="AF58" s="869"/>
      <c r="AG58" s="869"/>
      <c r="AH58" s="869"/>
      <c r="AI58" s="869"/>
      <c r="AJ58" s="869"/>
      <c r="AK58" s="869"/>
      <c r="AL58" s="869"/>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8255EA-77A8-4DFE-9DE2-5AABB4AA6776}">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263dbbe5-076b-4606-a03b-9598f5f2f35a"/>
    <ds:schemaRef ds:uri="http://schemas.openxmlformats.org/package/2006/metadata/core-properties"/>
    <ds:schemaRef ds:uri="ba954db6-8e98-4c99-b32f-7e23d9ecf8c6"/>
    <ds:schemaRef ds:uri="http://www.w3.org/XML/1998/namespace"/>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別紙１－１</vt:lpstr>
      <vt:lpstr>備考（1）</vt:lpstr>
      <vt:lpstr>別紙１－２</vt:lpstr>
      <vt:lpstr>備考（1－2）</vt:lpstr>
      <vt:lpstr>別紙１－３</vt:lpstr>
      <vt:lpstr>備考（1－3）</vt:lpstr>
      <vt:lpstr>別紙１－4</vt:lpstr>
      <vt:lpstr>別紙●24</vt:lpstr>
      <vt:lpstr>'別紙１－１'!Print_Titles</vt:lpstr>
      <vt:lpstr>'別紙１－２'!Print_Titles</vt:lpstr>
      <vt:lpstr>'別紙１－３'!Print_Titles</vt:lpstr>
      <vt:lpstr>'別紙１－4'!Print_Titles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高槻市</cp:lastModifiedBy>
  <cp:lastPrinted>2025-04-08T01:45:38Z</cp:lastPrinted>
  <dcterms:created xsi:type="dcterms:W3CDTF">2023-01-16T02:34:32Z</dcterms:created>
  <dcterms:modified xsi:type="dcterms:W3CDTF">2026-03-25T02:28:12Z</dcterms:modified>
</cp:coreProperties>
</file>